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465" windowWidth="17490" windowHeight="1620" tabRatio="613" activeTab="0"/>
  </bookViews>
  <sheets>
    <sheet name="Lista_Benefs_POCTEP_04_03_15" sheetId="1" r:id="rId1"/>
  </sheets>
  <definedNames>
    <definedName name="_xlnm._FilterDatabase" localSheetId="0" hidden="1">'Lista_Benefs_POCTEP_04_03_15'!$A$1:$J$1335</definedName>
  </definedNames>
  <calcPr fullCalcOnLoad="1"/>
</workbook>
</file>

<file path=xl/comments1.xml><?xml version="1.0" encoding="utf-8"?>
<comments xmlns="http://schemas.openxmlformats.org/spreadsheetml/2006/main">
  <authors>
    <author>SSILVANO</author>
  </authors>
  <commentList>
    <comment ref="G1" authorId="0">
      <text>
        <r>
          <rPr>
            <sz val="8"/>
            <rFont val="Tahoma"/>
            <family val="2"/>
          </rPr>
          <t xml:space="preserve">E (España)
P (Portuga)l </t>
        </r>
      </text>
    </comment>
    <comment ref="H1" authorId="0">
      <text>
        <r>
          <rPr>
            <sz val="8"/>
            <rFont val="Tahoma"/>
            <family val="2"/>
          </rPr>
          <t>BP (Beneficiario Principal)
B (Beneficiario)</t>
        </r>
      </text>
    </comment>
  </commentList>
</comments>
</file>

<file path=xl/sharedStrings.xml><?xml version="1.0" encoding="utf-8"?>
<sst xmlns="http://schemas.openxmlformats.org/spreadsheetml/2006/main" count="7350" uniqueCount="1018">
  <si>
    <t>Instâncias Territoriais de Cooperação: Comunidade de Trabalho Galicia-Norte de Portugal e Agrupamento Europeu de Cooperação Territorial Galicia-Norte de Portugal</t>
  </si>
  <si>
    <t>Secretaría Xeral de Relacións Exteriores. Xunta de Galicia</t>
  </si>
  <si>
    <t>AIMMAP  Associação dos Industriais Metalúrgicos e Metalomecânicos de Portugal</t>
  </si>
  <si>
    <t>CTAG - Fundación para la promoción de la innovación, investigación y desarrollo tecnológico en la industria de la automoción de Galicia</t>
  </si>
  <si>
    <t>Serviços de Acção Social da Universidade do Minho</t>
  </si>
  <si>
    <t>0554_COMSOTUR_II_3_E</t>
  </si>
  <si>
    <t>Ayuntamiento de Ciudad Rodrigo</t>
  </si>
  <si>
    <t>FEGAMP - Federación Galega de Municipios e Provincias</t>
  </si>
  <si>
    <t>0075_RED_INCOPYME_1_E</t>
  </si>
  <si>
    <t>Cooperación entre Centros de Investigación y PYMES para la Innovación y mejora de la Competitividad de la Euroregión</t>
  </si>
  <si>
    <t>0082_CEIIA_CTAG_MOBI_ONE_1_E</t>
  </si>
  <si>
    <t>Consolidación de la plataforma CEIIA / CTAG a través del desarrollo y prueba de nuevos productos y servicios de movilidad sostenible</t>
  </si>
  <si>
    <t>0089_RED_GENERA_1_E</t>
  </si>
  <si>
    <t>Fortalecimiento del sector de valorización y reciclado euroregional: Red de trabajo para la innovación en la reducción y valorización de residuos empresariales</t>
  </si>
  <si>
    <t>SOGAMA - Sociedade Galega de Medio Ambiente</t>
  </si>
  <si>
    <t>CVR - Centro para a Valorização de Resíduos</t>
  </si>
  <si>
    <t>CCIO - Cámara de Comercio e Industria de Ourense</t>
  </si>
  <si>
    <t>Cámara de Comercio, Industria y Navegación de Tuy</t>
  </si>
  <si>
    <t>Fundación Galega para a Sociedade do Coñecemento</t>
  </si>
  <si>
    <t>Consello Galego de Cámaras de Comercio, Industria y Navegación</t>
  </si>
  <si>
    <t>Cámara Oficial de Comercio, Industria y Navegación de Pontevedra</t>
  </si>
  <si>
    <t>IDITE Minho - Instituto de Desenvolvimento e Inovação Tecnológica do Minho</t>
  </si>
  <si>
    <t>0113_VINO_GNP_1_E</t>
  </si>
  <si>
    <t>Rutas del Vino de la Eurorregión Galicia-Norte Portugal</t>
  </si>
  <si>
    <t>0136_EUROCLUSTEX_1_P</t>
  </si>
  <si>
    <t>Cluster Têxtil / Vestuário / Moda Transfronteiriço Norte de Portugal-Galiza</t>
  </si>
  <si>
    <t>AICLOP - Asociación de Industrias del Punto y la Confección (Lugo, Orense y Pontevedra)</t>
  </si>
  <si>
    <t>0149_REAL_1_P</t>
  </si>
  <si>
    <t>Rede de Inovação e Desenvolvimento Tecnológico Agro-Alimentar Norte de Portugal / Galiza</t>
  </si>
  <si>
    <t>D. X. DE INVESTIGACIÓN, DESENVOLVEMENTO E INNOVACIÓN (GA)</t>
  </si>
  <si>
    <t>0217_ER_INNOVA_1_E</t>
  </si>
  <si>
    <t>Incremento de la competitividad de las pymes del sector de las energías renovables</t>
  </si>
  <si>
    <t>NET SA - Novas Empresas e Tecnologias (BIC Porto)</t>
  </si>
  <si>
    <t>Asociación de Empresas Galegas Adicadas a Internet - EGANET</t>
  </si>
  <si>
    <t>0236_CREATIVA_1_E</t>
  </si>
  <si>
    <t>La industria cultural gallego-portuguesa</t>
  </si>
  <si>
    <t>0219_XES_SILVAE_1_E</t>
  </si>
  <si>
    <t>Red de cooperación para la ordenación de los territorios forestales de la Eurorregion</t>
  </si>
  <si>
    <t>0234_NATURA_MIÑO_MINHO_1_E</t>
  </si>
  <si>
    <t>Valorización de los recursos naturales de la cuenca hidrográfica del Miño-Minho</t>
  </si>
  <si>
    <t>FEUP - Faculdade de Engenharia da Universidade do Porto</t>
  </si>
  <si>
    <t>0238_NATURA_XURES_GERES_1_E</t>
  </si>
  <si>
    <t>Gestión conjunta del Parque Natural Baixa Limia Serra do Xurés-Parque Nacional da Peneda-Gerês</t>
  </si>
  <si>
    <t>0313_RAIA_1_E</t>
  </si>
  <si>
    <t>Observatorio oceánico del margen ibérico</t>
  </si>
  <si>
    <t>Si</t>
  </si>
  <si>
    <t>0018_REDTRANS_1_E</t>
  </si>
  <si>
    <t>Red viaria transfronteriza Vale do Minho - Provincia Pontevedra</t>
  </si>
  <si>
    <t>0023_ESOL_1_E</t>
  </si>
  <si>
    <t>Gestión Energética Sostenible en Entidades Locales Transfronterizas</t>
  </si>
  <si>
    <t>Ayuntamiento de Riós</t>
  </si>
  <si>
    <t>Ayuntamiento de Baltar</t>
  </si>
  <si>
    <t>0116_VIARRAIA_1_P</t>
  </si>
  <si>
    <t>Permeabilização da Fronteira Montalegre-Chaves-Oimbra-Cualedro</t>
  </si>
  <si>
    <t>0106_EUROCIUDAD_1_E</t>
  </si>
  <si>
    <t>Eurociudad Chaves - Verín</t>
  </si>
  <si>
    <t>0118_COOPMINHO_1_P</t>
  </si>
  <si>
    <t>Reforço da Cooperação Institucional no Vale do Minho Transfronteiriço</t>
  </si>
  <si>
    <t>0120_CTGNP_1_P</t>
  </si>
  <si>
    <t>Comunidade de Trabalho Galiza-Norte de Portugal</t>
  </si>
  <si>
    <t>0135_ESPAZO_XUVENIL_1_E</t>
  </si>
  <si>
    <t>Un espacio joven en la Agenda de Lisboa</t>
  </si>
  <si>
    <t>0227_CTC_1_E</t>
  </si>
  <si>
    <t>0306_PLATENG_1_P</t>
  </si>
  <si>
    <t>Plataforma para a mobilidade e cooperação das engenharias - Norte de Portugal Galiza</t>
  </si>
  <si>
    <t>Ordem dos Engenheiros - Região Norte</t>
  </si>
  <si>
    <t>Colegio de Ingenieros de Caminos, Canales y Puertos</t>
  </si>
  <si>
    <t>Ilustre Colegio Oficial de Ingenieros Industriales de Galicia</t>
  </si>
  <si>
    <t>Consejo General de Colegios Oficiales de Ingenieros Agrónomos</t>
  </si>
  <si>
    <t>0029_FLUVIAL_2_E</t>
  </si>
  <si>
    <t>Nuevas ciudades fluviales del siglo XXI</t>
  </si>
  <si>
    <t>0127_LIMENORTE_2_E</t>
  </si>
  <si>
    <t>Línea Mestre Norte</t>
  </si>
  <si>
    <t>0128_PROBIOENER_2_E</t>
  </si>
  <si>
    <t>Acción integrada para la promoción e implantación de eficiencia energética y energías renovables como factor de competitividad</t>
  </si>
  <si>
    <t>0184_INDESS_2_E</t>
  </si>
  <si>
    <t>Investigación y desarrollo de tecnologías en la atención sociosanitaria</t>
  </si>
  <si>
    <t>Centro Hospitalario do Nordeste, E.P.E</t>
  </si>
  <si>
    <t>0249_DISTRANS_2_E</t>
  </si>
  <si>
    <t>Promoción de centros empresariales de dinamización y diversificación del tejido socio-económico transfronterizo</t>
  </si>
  <si>
    <t>0107_ART_2_E</t>
  </si>
  <si>
    <t>Arte rupestre transfronterizo de Foz Côa a Siega Verde</t>
  </si>
  <si>
    <t>IGESPAR, IP - Instituto de Gestão do Património Arquitectónico e Arqueológico</t>
  </si>
  <si>
    <t>0201_SUSTENTA_2_P</t>
  </si>
  <si>
    <t>OS RECURSOS NATURAIS: QUADRO PARA O DESENVOLVIMENTO RURAL E COOPERAÇÃO ENTRE AS REGIÕES TRANSFRONTEIRIÇAS</t>
  </si>
  <si>
    <t>0216_SUVIDUR_2_P</t>
  </si>
  <si>
    <t>Sustentabilidade da Viticultura de Encosta nas Regiões do Douro e do Duero</t>
  </si>
  <si>
    <t>IVDP - Instituto dos Vinhos do Douro e Porto</t>
  </si>
  <si>
    <t>0094_SITET_DUERO_DOURO_2_E</t>
  </si>
  <si>
    <t>COOPERACIÓN TRANSFRONTERIZA PARA LA GESTIÓN TERRITORIAL INTEGRADA DE LA REGIÓN FLUVIAL DUERO-DOURO</t>
  </si>
  <si>
    <t>CONSEJERIA DE MEDIO AMBIENTE (C.A. CASTILLA Y LEÓN)</t>
  </si>
  <si>
    <t>Centro de Información Territorial de la Junta de Castilla y León</t>
  </si>
  <si>
    <t>DG Estadística - Consejería de Hacienda - Junta de Castilla y León</t>
  </si>
  <si>
    <t>0247_VIAS_2_E</t>
  </si>
  <si>
    <t>Conexión de las áreas fronterizas para una mejor permeabilidad territorial y comunicación vial</t>
  </si>
  <si>
    <t>0248_CONECTAR_2_E</t>
  </si>
  <si>
    <t>Proyecto transfronterizo de infraestructuras locales de comunicación</t>
  </si>
  <si>
    <t>0108_OTSA_2_E</t>
  </si>
  <si>
    <t>OBSERVATORIO TRANSFRONTERIZO DE SANIDAD ANIMAL</t>
  </si>
  <si>
    <t>0188_CT_CYL_NP_2_E</t>
  </si>
  <si>
    <t>0186_AGROCELE_3_E</t>
  </si>
  <si>
    <t>Transferencia de tecnología y experimentación de cultivos de cereales y leguminosas para usos energéticos y de alta calidad alimentaria en sistemas de regadío y de agricultura sostenible</t>
  </si>
  <si>
    <t>0290_REDES_3_E</t>
  </si>
  <si>
    <t>0307_ACTION_3_P</t>
  </si>
  <si>
    <t>Acções de cooperação transfronteiriça para a inovação e oportunidades de negócio</t>
  </si>
  <si>
    <t>0325_VIP_BIN_SAL_3_E</t>
  </si>
  <si>
    <t>VALORIZAR, INNOVAR Y POTENCIAR LA BEIRA INTERIOR NORTE Y LA PROVINCIA DE SALAMANCA</t>
  </si>
  <si>
    <t>0191_COMSOTUR_3_E</t>
  </si>
  <si>
    <t>Plan de mejora de la competitividad y sostenibilidad turística del espacio rayano hispano_luso</t>
  </si>
  <si>
    <t>0324_BIN_SAL_RIESGOS_3_E</t>
  </si>
  <si>
    <t>PREVENCIÓN DE RIESGOS BEIRA INTERIOR NORTE SALAMANCA</t>
  </si>
  <si>
    <t>0100_REDES_DROG_3_E</t>
  </si>
  <si>
    <t>Intervenciones en drogodependencias</t>
  </si>
  <si>
    <t>0185_CENCYL_COOPERA_3_E</t>
  </si>
  <si>
    <t>0267_CEI_RC&amp;D_3_P</t>
  </si>
  <si>
    <t>Rede para a Cooperação &amp; Desenvolvimento</t>
  </si>
  <si>
    <t>0002_BIOEXAL_4_E</t>
  </si>
  <si>
    <t>Banco de tumores y ADN extremeño-alentejano</t>
  </si>
  <si>
    <t>Servicio Extremeño de Salud</t>
  </si>
  <si>
    <t>0030_PONTERAYANA_4_E</t>
  </si>
  <si>
    <t>Agencia Luso Extremeña de Desarrollo Trasfronterizo de La Raya/A Raia</t>
  </si>
  <si>
    <t>0318_RITECA_4_E</t>
  </si>
  <si>
    <t>Red de Investigación Transfronteriza de Extremadura, Centro y Alentejo</t>
  </si>
  <si>
    <t>0046_FENIX_4_E</t>
  </si>
  <si>
    <t>Promoción Transfronteriza de la Arqueología Industrial</t>
  </si>
  <si>
    <t>0047_NETUR_4_E</t>
  </si>
  <si>
    <t>Red de Ciudades para Implementar el Nivel de Excelencia Cultural, Patrimonial y Turística</t>
  </si>
  <si>
    <t>0054_URT_4_E</t>
  </si>
  <si>
    <t>Urbes Romanas Transfronterizas</t>
  </si>
  <si>
    <t>0057_DEMETER_4_E</t>
  </si>
  <si>
    <t>Dirección General de Desarrollo e Infraestructuras Rurales - Junta de Extremadura</t>
  </si>
  <si>
    <t>0314_TI_4_E</t>
  </si>
  <si>
    <t>TÆJO INTERNACIONAL</t>
  </si>
  <si>
    <t>Projecto Estruturante para o Desenvolvimento das Terras do Grande Lago Alqueva</t>
  </si>
  <si>
    <t>Ayuntamiento de Cheles</t>
  </si>
  <si>
    <t>AdP - Águas de Portugal Serviços Ambientais, SA</t>
  </si>
  <si>
    <t>0296_OTALEX_II_4_P</t>
  </si>
  <si>
    <t>Observatório Territorial e Ambiental Alentejo Extremadura II</t>
  </si>
  <si>
    <t>Centro Nacional de Información Geográfica- Instituto Geográfico Nacional</t>
  </si>
  <si>
    <t>Gerencia Regional del Catastro en Extremadura</t>
  </si>
  <si>
    <t>0317_ALTERCEXA_4_E</t>
  </si>
  <si>
    <t>Medidas de Adaptación y Mitigación del Cambio Climático a Través del Impulso de las Energías Alternativas en Centro, Alentejo y Extremadura</t>
  </si>
  <si>
    <t>0312_GIT_ACE_IV_4_E</t>
  </si>
  <si>
    <t>Gabinete de Iniciativas Transfronterizas Alentejo-Centro-Extremadura IV</t>
  </si>
  <si>
    <t>0042_RISE_5_E</t>
  </si>
  <si>
    <t>Red de Investigación del Suroeste de Europa</t>
  </si>
  <si>
    <t>0123_INTERPLAT_5_E</t>
  </si>
  <si>
    <t>Plataforma transfronteriza para el desarrollo industrial y la sostenibilidad ambiental</t>
  </si>
  <si>
    <t>0251_ECOAQUA_5_E</t>
  </si>
  <si>
    <t>Establecimiento de una red de cooperación transfronteriza para la utilización de sistemas de producción ecológicamente sostenibles en acuicultura</t>
  </si>
  <si>
    <t>0327_PIDETRANS_5_P</t>
  </si>
  <si>
    <t>Plano Integral para o Desenvolvimento Empresarial Transfronteiriço</t>
  </si>
  <si>
    <t>0130_AMBIENTAL_5_E</t>
  </si>
  <si>
    <t>Gestión ambiental de los centros sanitarios de la región fronteriza Algarve - Huelva</t>
  </si>
  <si>
    <t>0252_DIMEAGUA_5_P</t>
  </si>
  <si>
    <t>Desenv. e harmonização por Portugal e Espanha de novos indicadores, metod. e estratégias comuns para aplicação da Directiva Quadro da Água às massas de água de transição e costeiras do Guadiana</t>
  </si>
  <si>
    <t>0328_GUADITER_5_P</t>
  </si>
  <si>
    <t>Itinerários do Baixo Guadiana</t>
  </si>
  <si>
    <t>CONSEJERIA DE CULTURA (AN)</t>
  </si>
  <si>
    <t>CONSEJERIA DE TURISMO Y DEPORTE (AN)</t>
  </si>
  <si>
    <t>0323_ANDALBAGUA_5_E</t>
  </si>
  <si>
    <t>Territorio y Navegabilidad en el Bajo Guadiana</t>
  </si>
  <si>
    <t>Instituto Marítimo Portuário</t>
  </si>
  <si>
    <t>Secretaria General de Acción Exterior - Junta de Andalucía</t>
  </si>
  <si>
    <t>SG de Planificación y Desarrollo Territorial - Consejería de Vivienda y Ordenación del Territorio - Junta de Andalucía</t>
  </si>
  <si>
    <t>0032_GIT_AAA_5_E</t>
  </si>
  <si>
    <t>Gabinete de Iniciativas Transfronterizas Andalucía-Algarve-Alentejo</t>
  </si>
  <si>
    <t>0078_CITAA_2008_2010_5_E</t>
  </si>
  <si>
    <t>COOPERACIÓN INTERSINDICAL TRANSFRONTERIZA ANDALUCÍA- ALGARVE 2008-2010</t>
  </si>
  <si>
    <t>União Geral de Trabalhadores - UGT Portugal</t>
  </si>
  <si>
    <t>0129_OBSERVATORIO_SALUD_5_E</t>
  </si>
  <si>
    <t>Proyecto de cooperación sanitaria entre el Algarve y Andalucía; Observatorio de salud en la región fronteriza</t>
  </si>
  <si>
    <t>0274_BGDESPORTO_5_P</t>
  </si>
  <si>
    <t>Baixo Guadiana: Zona Desportiva de Excelência</t>
  </si>
  <si>
    <t>0001_IBERMOVILITAS_6_E</t>
  </si>
  <si>
    <t>Cooperación para la eliminación de barreras a la movilidad transfronteriza</t>
  </si>
  <si>
    <t>IEFP - Instituto do Emprego e Formação Profissional</t>
  </si>
  <si>
    <t>Consejeria de Igualdad y Empleo - Junta de Extremadura</t>
  </si>
  <si>
    <t>Consejería de Empleo- Servicio Andaluz de Empleo - Junta de Andalucía</t>
  </si>
  <si>
    <t>Servicio Público de Empleo de Castilla y León- ECYL-Junta de Castilla y León</t>
  </si>
  <si>
    <t>0098_ATICA_6_E</t>
  </si>
  <si>
    <t>Apoyo TIC a los aprendizajes</t>
  </si>
  <si>
    <t>0099_AMTFP_6_E</t>
  </si>
  <si>
    <t>Acciones de Movilidad Transfronteriza en Formación Profesional</t>
  </si>
  <si>
    <t>0315_INL_6_P</t>
  </si>
  <si>
    <t>Edificação do Laboratório Ibérico Internacional de Nanotecnologia</t>
  </si>
  <si>
    <t>0016_IBERLINX_6_P</t>
  </si>
  <si>
    <t>Acção territorial transfronteiriça de conservação do lince _x0013_ ibérico</t>
  </si>
  <si>
    <t>Dirección General de Gestión del Medio Natural (AN)</t>
  </si>
  <si>
    <t>0062_RETALER_6_E</t>
  </si>
  <si>
    <t>Red transfronteriza de autoridades locales en energías renovables</t>
  </si>
  <si>
    <t>0095_TRANSXUVENTUDE_6_E</t>
  </si>
  <si>
    <t>Cooperación Juvenil Transfronteriza</t>
  </si>
  <si>
    <t>IDP - Instituto do Desporto de Portugal</t>
  </si>
  <si>
    <t>0329_ECOREDESANEASOL_1_P</t>
  </si>
  <si>
    <t>Bacia Hidrográfica do Minho - Requalificação Ambiental, Recuperação de Água Depurada e Boas Práticas na Gestão dos Recursos Hídricos</t>
  </si>
  <si>
    <t>EMPRESA PUBLICA DE OBRAS E SERVICIOS HIDRAULICOS</t>
  </si>
  <si>
    <t>0330_ IBEROMARE_1_P</t>
  </si>
  <si>
    <t>Centro Multipolar de Valorização de Recursos e Resíduos Marinhos</t>
  </si>
  <si>
    <t>0331_TF_VD_2_E</t>
  </si>
  <si>
    <t>Territorio de Frontera- Valle del Duero</t>
  </si>
  <si>
    <t>0475_RENERPATH_3_E</t>
  </si>
  <si>
    <t>DIPUTACIÓN DE CÁCERES</t>
  </si>
  <si>
    <t>0508_BIOSFERA_TRANSFRONTER_2_P</t>
  </si>
  <si>
    <t>0005_EIXO_1_E</t>
  </si>
  <si>
    <t>Consolidación da rede de cidades do Eixo Atlântico</t>
  </si>
  <si>
    <t>0006_BIOEMPRENDE_1_E</t>
  </si>
  <si>
    <t>Recursos para el desarrollo transfronterizo de empresas biotecnológicas</t>
  </si>
  <si>
    <t>Fundación Universidad de Vigo</t>
  </si>
  <si>
    <t>CEEI Galicia, S.A (BIC GALICIA)</t>
  </si>
  <si>
    <t>0065_ECA_IT_1_E</t>
  </si>
  <si>
    <t>Estructuras conjuntas de apoyo a la innovación transfronteriza</t>
  </si>
  <si>
    <t>Fundacion para el Fomento de la Calidad Industrial y Desarrollo Tecnólogico de Galicia</t>
  </si>
  <si>
    <t>0072_ACCEPT_1_E</t>
  </si>
  <si>
    <t>Apoyo a la Competitividad y a la Calidad del EmPleo Transfronterizo</t>
  </si>
  <si>
    <t>Ruta Europea de los Descubrimientos. Iniciativa transfronteriza para la valorización y promoción del patrimonio de los descubrimientos.</t>
  </si>
  <si>
    <t>OBSERVATORIO TERRITORIAL Y AMBIENTAL ALENTEJO- EXTREMADURA - CENTRO</t>
  </si>
  <si>
    <t>Tiempo para el desarrollo tecnológico empresarial de las PYMEs</t>
  </si>
  <si>
    <t>Plan Integral de Movilidad del Espacio Transfronterizo</t>
  </si>
  <si>
    <t>PROMOción de la Eficiencia Energética y las Energías Renovables en edificios de la Administración</t>
  </si>
  <si>
    <t>Medidas de Adaptación y Mitigación al Cambio Climático a través del impulso de las Energías Alternativas en Centro, Extremadura y Alentejo (Fase II)</t>
  </si>
  <si>
    <t>Sistema de Observación Interreg RADAR para protección del medio ambiente</t>
  </si>
  <si>
    <t>METODOLOGÍA DE REHABILITACIÓN ENERGÉTICA DE EDIFICIOS PATRIMONIALES</t>
  </si>
  <si>
    <t>DX de Desenvolvemento Pesquero. Consellería do Mar. Xunta de Galicia</t>
  </si>
  <si>
    <t>Comunidad de Trabajo Castilla y León-Norte de Portugal</t>
  </si>
  <si>
    <t>Acçoes de Cooperação Transfronteiriça para a Inovação e Oportunidades de Negócio II</t>
  </si>
  <si>
    <t>Cooperación, formación y movilidad para luchar contra el desempleo juvenil</t>
  </si>
  <si>
    <t>El Turismo Cultural como Instrumento de Desarrollo Integrado de los Recursos y del Patrimonio Historico Cultural entre la frontera de Andalucía y Algarve</t>
  </si>
  <si>
    <t>Refuerzo de la Integración Socioeconómica Transfronteriza</t>
  </si>
  <si>
    <t>Investigación y Transferencia Transfronteriza España-Portugal</t>
  </si>
  <si>
    <t>Mejora de los sistemas agrícolas y racionalización de cultivos para optimizar la competitividad y sostenibilidad de las explotaciones agrícolas.</t>
  </si>
  <si>
    <t>CREACIÓN DE EBT E IMPLEMENTACIÓN DE FACTORES DE COMPETITIVIDAD PARA EL FORTALECIMIENTO Y CONSOLIDACIÓN DE LAS EMPRESAS</t>
  </si>
  <si>
    <t>Desenvolvimento de plataformas de comunicação entre os serviços e os cidadãos do Algarve e Huelva</t>
  </si>
  <si>
    <t>PROGRAMA EPIDEMIÓGICO TRANSFRONTERIZO DE INVESTIGACIÓN DE ZOONOSIS</t>
  </si>
  <si>
    <t>Mejora de la competitividad del sector agrario de Castilla y León y Norte de Portugal a través de la innovación y el desarrollo de productos diferenciados de alto valor</t>
  </si>
  <si>
    <t>COOPERACIÓN TRANSFRONTERIZA PARA EL DESARROLLO DE BUENAS PRÁCTICAS SANITARIAS EN ACUICULTURA MARINA</t>
  </si>
  <si>
    <t>Desarrollo de la atención neonatal en el área fronteriza Algarve-Andalucía</t>
  </si>
  <si>
    <t>Contribución en la Formación Profesional al Desarrollo Interfronterizo</t>
  </si>
  <si>
    <t>RED AMBASAGUAS DE INTEGRACIÓN SOCIO-LABORAL DE PERSONAS CON DISCAPACIDAD EN EL MEDIO RURAL</t>
  </si>
  <si>
    <t>FCUP - Faculdade de Ciências da Universidade do Porto</t>
  </si>
  <si>
    <t>Desarrollo de la atención materno-infantil en el área fronteriza Algarve-Andalucía</t>
  </si>
  <si>
    <t>Formación, Innovación y Aulas Virtuales en el Aprendizaje de Lenguas</t>
  </si>
  <si>
    <t>Implantación de Redes de Alertas Tempranas para Planes de Protección Civil y Sistemas de Emergencias EXTREMADURA - BEIRA INTERIOR SUL.</t>
  </si>
  <si>
    <t>Associação de Desenvolvimento dos Concelhos da Raia Nordestina</t>
  </si>
  <si>
    <t>Sistema conjunto de comunicación de información hidrológica en el tramo transnfronterizo de la cuenca del Tajo</t>
  </si>
  <si>
    <t>Valorización de las fortificaciones fronterizas abaluartadas de Elvas y Badajoz.</t>
  </si>
  <si>
    <t>Aplicación de las TIC a la puesta en valor del Patrimonio Cultural e Histórico</t>
  </si>
  <si>
    <t>Diseño, consolidación y mejora de vehículos de transferencia tecnológica en la Eurorregión</t>
  </si>
  <si>
    <t>Fundación para o Fomento da Calidade Industrial e o Desenvolvemento Tecnolóxico de Galicia</t>
  </si>
  <si>
    <t>Calidad del agua potable en los núcleos rurales de las demarcaciones transfronterizas del Miño y el Limia</t>
  </si>
  <si>
    <t>Criação de um Pólo de Competitividade em Nanotecnologia para capitalização do potencial de I&amp;DT na Euroregião Norte de Portugal-Galiza</t>
  </si>
  <si>
    <t>Gabinete de Iniciativas Transfronterizas de la Eurorregión ALENTEJO-CENTRO-EXTREMADURA</t>
  </si>
  <si>
    <t>Câmara Municipal de Lamego</t>
  </si>
  <si>
    <t>AEP - Associação Empresarial de Portugal</t>
  </si>
  <si>
    <t>0384_ETE _6_E</t>
  </si>
  <si>
    <t>ESPACIO TRANSFRONTERIZO SOBRE EL ENVEJECIMIENTO</t>
  </si>
  <si>
    <t>Fundación German Sánchez Ruipérez</t>
  </si>
  <si>
    <t>D.X. CONSERVACIÓN DA NATUREZA (GA)</t>
  </si>
  <si>
    <t>ADERE Peneda Gêres</t>
  </si>
  <si>
    <t>DIPUTACIÓN DE ORENSE</t>
  </si>
  <si>
    <t>Eixo Atlántico do Noroeste Peninsular</t>
  </si>
  <si>
    <t>0373_RIET_6_E</t>
  </si>
  <si>
    <t>Red Ibérica de Entidades Transfronterizas</t>
  </si>
  <si>
    <t>Câmara Municipal de Chaves</t>
  </si>
  <si>
    <t>TRIURBIR - Triángulo Urbano Ibérico Rayano, AEIE</t>
  </si>
  <si>
    <t>0374_ADL_1_E</t>
  </si>
  <si>
    <t>D.X. DE ADMINISTRACIÓN LOCAL (GA)</t>
  </si>
  <si>
    <t>Federación Onubense de Empresarios (FOE)</t>
  </si>
  <si>
    <t>ANJE - Associação Nacional de Jovens Empresários</t>
  </si>
  <si>
    <t>Globalgarve - Cooperação e Desenvolvimento, SA</t>
  </si>
  <si>
    <t>0376_EIXO_INTERIOR_1_E</t>
  </si>
  <si>
    <t>Ayuntamiento de Sarria</t>
  </si>
  <si>
    <t>Ayuntamiento de Barco de Valdeorras</t>
  </si>
  <si>
    <t>Município de Barcelos</t>
  </si>
  <si>
    <t>Câmara Municipal de Faro</t>
  </si>
  <si>
    <t>Universidade do Algarve</t>
  </si>
  <si>
    <t>Câmara Municipal de Serpa</t>
  </si>
  <si>
    <t>0432_I2TEP_5_E</t>
  </si>
  <si>
    <t>Instituto de Ciencias Marinas de Andalucía - CSIC</t>
  </si>
  <si>
    <t>IDT - Instituto da Droga e da Toxicodependência</t>
  </si>
  <si>
    <t>0360_GIT_EUROAAA_5_E</t>
  </si>
  <si>
    <t>Dirección Xeral de Relacións Laborais- Conselleria de Traballo- Xunta de Galicia</t>
  </si>
  <si>
    <t>ADRAT - Associação de Desenvolvimento da Região do Alto Tâmega</t>
  </si>
  <si>
    <t>Centro Tecnológico da Carne y da Calidade Alimentaria de Galicia</t>
  </si>
  <si>
    <t>CITEVE - Centro Tecnológico das Indústrias Têxtil e do Vestuário de Portugal</t>
  </si>
  <si>
    <t>INESC Porto-Instituto Engenharia de Sistemas e Computadores do Porto</t>
  </si>
  <si>
    <t>Eficiencia, cogeneración y gestión energética en el sector servicios</t>
  </si>
  <si>
    <t>UNIVERSIDAD DE VIGO</t>
  </si>
  <si>
    <t>0532_GUADIANA_5_P</t>
  </si>
  <si>
    <t>Guadiana _x0013_ uma via navegável</t>
  </si>
  <si>
    <t>EMPRESA PUBLICA DE PUERTOS DE ANDALUCIA (EPPA)</t>
  </si>
  <si>
    <t>DREN - Direcção Regional de Educação do Norte</t>
  </si>
  <si>
    <t>0504_EUROREGION_TERMALAGUA_6_E</t>
  </si>
  <si>
    <t>UNIVERSIDAD DE SANTIAGO DE COMPOSTELA</t>
  </si>
  <si>
    <t>Forestis - Associação Forestal de Portugal</t>
  </si>
  <si>
    <t>AYUNTAMIENTO DE ZAMORA</t>
  </si>
  <si>
    <t>0424_FRONTECO_2_E</t>
  </si>
  <si>
    <t>Câmara Municipal de Bragança</t>
  </si>
  <si>
    <t>Câmara Municipal de Vinhais</t>
  </si>
  <si>
    <t>Turismo Terras do Grande Lago Alqueva - Alentejo</t>
  </si>
  <si>
    <t>Red de Ciudades por la nueva economía, el empleo y la sostenibilidad</t>
  </si>
  <si>
    <t>Diversidad Bioconstructiva Transfronteriza, Edificación Bioclimática y su adaptación a la Arquitectura y Urbanismo Moderno</t>
  </si>
  <si>
    <t>EREN - Ente Regional de la Energía de Castilla y León</t>
  </si>
  <si>
    <t>Instituto de la Construcción de Castilla y León - ICCL</t>
  </si>
  <si>
    <t>Câmara Municipal de Viana do Castelo</t>
  </si>
  <si>
    <t>0413_MURALLA_DIGITAL_1_E</t>
  </si>
  <si>
    <t>0404_RAT_PC_4_E</t>
  </si>
  <si>
    <t>Fundación General de la Universidad de Salamanca</t>
  </si>
  <si>
    <t>0490_ACTION_II_6_E</t>
  </si>
  <si>
    <t>Fundación Rei Afonso Henriques</t>
  </si>
  <si>
    <t>NERBA AE - Núcleo Empresarial de Bragança</t>
  </si>
  <si>
    <t>NERVIR AE - Núcleo Empresarial de Vila Real</t>
  </si>
  <si>
    <t>0492_VIAQUA_2_E</t>
  </si>
  <si>
    <t>CAMINOS DE AGUA</t>
  </si>
  <si>
    <t>Ayuntamiento de Gordoncillo</t>
  </si>
  <si>
    <t>Ayuntamiento de Puebla de Sanabria</t>
  </si>
  <si>
    <t>Ayuntamiento de Benavente</t>
  </si>
  <si>
    <t>Ayuntamiento de Villafáfila</t>
  </si>
  <si>
    <t>Ayuntamiento de Lubián</t>
  </si>
  <si>
    <t>0494_TIME_PYME_2_E</t>
  </si>
  <si>
    <t>Cámara de Comercio de Zamora</t>
  </si>
  <si>
    <t>0495_BALUARTES_4_E</t>
  </si>
  <si>
    <t>AIMinho - Associação Industrial do Minho</t>
  </si>
  <si>
    <t>Asistencia reciproca interregional en materia de emergencias</t>
  </si>
  <si>
    <t>Consejería de Interior y Justicia - Junta de Castilla y León</t>
  </si>
  <si>
    <t>CITMAD  Centro de Inovação de Tras-os-Montes e Alto Douro</t>
  </si>
  <si>
    <t>Promoción e inserción en las Pequeñas y Medianas Empresas del sector manufacturero ( PYMEs) de tecnología Open Source Software (OSS) para la simulación numérica y CAD/CAE</t>
  </si>
  <si>
    <t>Euroregion North Portugal _x0013_ Galicia Reinforcing Textile/Fashion Cluster</t>
  </si>
  <si>
    <t>CVRVV - Comissão de Viticultura da Região dos Vinhos Verdes</t>
  </si>
  <si>
    <t>Direcção Regional de Cultura do Norte. Ministério da Cultura</t>
  </si>
  <si>
    <t>BP</t>
  </si>
  <si>
    <t>Confederación de Industrias Textiles de Galicia - COINTENGA</t>
  </si>
  <si>
    <t>Cooperación en la Dinamización del Tejido Productivo mediante el Fomento del Cooperativismo</t>
  </si>
  <si>
    <t>Fundación Cabaleiro Goás- DG Aseguramento y Planificación Sanitaria</t>
  </si>
  <si>
    <t>Princípios, Políticas e Práticas para a Valorização do Parque Transfronteiriço Gerês-Xurés</t>
  </si>
  <si>
    <t>Associação para o Centro de Incubação de Base Tecnológica do Minho - INCUBO</t>
  </si>
  <si>
    <t>Escola Superior Gallaecia - Fundação Convento da Orada</t>
  </si>
  <si>
    <t>Nuevas prácticas institucionales, de base transfronteriza, sobre envejecimiento activo</t>
  </si>
  <si>
    <t>UNIVERSIDAD PONTIFICIA DE SALAMANCA</t>
  </si>
  <si>
    <t>Experiência Piloto de Mobilidade Eléctrica na Euro_região Norte de Portugal/Galiza</t>
  </si>
  <si>
    <t>CEIIA - Centro para a Excelência e Inovação na Indústria Automóvel</t>
  </si>
  <si>
    <t>Parque Tecnológico de Galicia</t>
  </si>
  <si>
    <t>DG de Urbanismo y Ordenación del Territorio</t>
  </si>
  <si>
    <t>NaturTejo - EIM</t>
  </si>
  <si>
    <t>Câmara Municipal de Nisa</t>
  </si>
  <si>
    <t>Câmara Municipal de Vila Velha de Ródão</t>
  </si>
  <si>
    <t>ENERAREA - Agência Regional de Energia e Ambiente do Interior</t>
  </si>
  <si>
    <t>Ayuntamiento de Hermisende</t>
  </si>
  <si>
    <t>0493_EMPRENDEJOVE_6_E</t>
  </si>
  <si>
    <t>Ayuntamiento de Ribadavia</t>
  </si>
  <si>
    <t>IEM - Instituto Empresarial do Minho</t>
  </si>
  <si>
    <t>DIPUTACIÓN DE HUELVA</t>
  </si>
  <si>
    <t>Câmara Municipal de Castro Marim</t>
  </si>
  <si>
    <t>Câmara Municipal de Mértola</t>
  </si>
  <si>
    <t>VRSA, Sociedade de Gestão Urbana, EM SA</t>
  </si>
  <si>
    <t>Câmara Municipal de Alcoutim</t>
  </si>
  <si>
    <t>0344_CAVATRANS_4_E</t>
  </si>
  <si>
    <t>CEC - Conselho Empresarial do Centro</t>
  </si>
  <si>
    <t>0345_OTALEX_C_4_E</t>
  </si>
  <si>
    <t>Dirección General de Empresa y Actividad Emprendedora. Consejería de Empleo, Empresa e Innovación. Junta de Extremadura</t>
  </si>
  <si>
    <t>Secretaría General de Educación. Consejería de Educación y Cultura. Junta de Extremadura</t>
  </si>
  <si>
    <t>Dirección General de Deportes. Presidencia. Junta de Extremadura</t>
  </si>
  <si>
    <t>Centro de Cirugía de Mínima Invasión Jesús Usón - CCMI</t>
  </si>
  <si>
    <t>COMPUTAEX - Fundación Computación y Tecnologías Avanzadas de Extremadura</t>
  </si>
  <si>
    <t>Fundación para el Desarrollo de la Ciencia y la Tecnología en Extremadura – FUNDECYT</t>
  </si>
  <si>
    <t>ICMC - Instituto del Corcho, la Madera y el Carbón Vegetal</t>
  </si>
  <si>
    <t>Dirección General de Modernización e Innovación Tecnológica. Consejería de Empleo, Empresa e Innovación. Junta de Extremadura</t>
  </si>
  <si>
    <t>Desarrollo en torno a la cadena de valor de sectores estratégicos comunes de las regiones Centro, Alentejo y Extremadura</t>
  </si>
  <si>
    <t>Cooperación empresarial en el sector y la cadena productiva del corcho</t>
  </si>
  <si>
    <t>SOFIEX - Sociedad de Fomento Industrial de Extremadura</t>
  </si>
  <si>
    <t>ADRAL - Agência de Desenvolvimento Regional do Alentejo, S.A.</t>
  </si>
  <si>
    <t>Instituto de la Grasa. CSIC</t>
  </si>
  <si>
    <t>UNIVERSIDAD DE HUELVA</t>
  </si>
  <si>
    <t>0433_BONAQUA_5_E</t>
  </si>
  <si>
    <t>DIPUTACIÓN DE AVILA</t>
  </si>
  <si>
    <t>0397_PROMOEENER_A_4_E</t>
  </si>
  <si>
    <t>Observatorio transfronterizo Galaico-Portugués para el control de la tuberculosis</t>
  </si>
  <si>
    <t>Centro Hospitalar de Tras-Os-Montes e Alto Douro - CHTMAD, EPE</t>
  </si>
  <si>
    <t>0520_RAIA_CO_1_E</t>
  </si>
  <si>
    <t>INSTITUTO ESPAÑOL DE OCEANOGRAFIA (MCT)</t>
  </si>
  <si>
    <t>0521_CTC_2_1_E</t>
  </si>
  <si>
    <t>Comunidad Territorial de Cooperación</t>
  </si>
  <si>
    <t>0523_PROMERCADO_1_E</t>
  </si>
  <si>
    <t>Desarrollar y valorizar productos endogenos</t>
  </si>
  <si>
    <t>Ayuntamiento de Barbadás</t>
  </si>
  <si>
    <t>0524_CEDIM_1_E</t>
  </si>
  <si>
    <t>SX Igualdade (GA)</t>
  </si>
  <si>
    <t>ICNB - Instituto da Conservação da Natureza e da Biodiversidade</t>
  </si>
  <si>
    <t>DESARROLLO DEL SISTEMA URBANO INTERIOR DE LA EURORREGIÓN GALICIA-NORTE DE PORTUGAL</t>
  </si>
  <si>
    <t>Câmara Municipal de Portalegre</t>
  </si>
  <si>
    <t>Câmara Municipal de Penamacor</t>
  </si>
  <si>
    <t>Câmara Municipal de Gavião</t>
  </si>
  <si>
    <t>Câmara Municipal de Castelo Branco</t>
  </si>
  <si>
    <t>Câmara Municipal de Vila Nova de Cerveira</t>
  </si>
  <si>
    <t>0406_ALTERCEXA_II_4_E</t>
  </si>
  <si>
    <t>GESAMB - Gestão Ambiental e de Resíduos, EIM</t>
  </si>
  <si>
    <t>Centro Tecnológico da Cerâmica e do Vidro</t>
  </si>
  <si>
    <t>0407_IBERLINX_II_6_P</t>
  </si>
  <si>
    <t>Ayuntamiento de Valencia de Mombuey</t>
  </si>
  <si>
    <t>Câmara Municipal de Moura</t>
  </si>
  <si>
    <t>Águas do Algarve, S.A.</t>
  </si>
  <si>
    <t>0408_NORTE_RISCOS_II_2_P</t>
  </si>
  <si>
    <t>DIPUTACIÓN DE ZAMORA</t>
  </si>
  <si>
    <t>AMDS - Associação de Municípios do Douro Superior</t>
  </si>
  <si>
    <t>Câmara Municipal de Mogadouro</t>
  </si>
  <si>
    <t>Câmara Municipal de Torre de Moncorvo</t>
  </si>
  <si>
    <t>Câmara Municipal de Vila Nova de Foz Côa</t>
  </si>
  <si>
    <t>Câmara Municipal de Vimioso</t>
  </si>
  <si>
    <t>Câmara Municipal de Freixo de Espada à Cinta</t>
  </si>
  <si>
    <t>Acções para o desenvolvimento das Terras do Grande Lago Alqueva</t>
  </si>
  <si>
    <t>UTAD - Universidade de Trás-os-Montes e Alto Douro</t>
  </si>
  <si>
    <t>Escola Superior de Biotecnologia - Universidade Católica Portuguesa</t>
  </si>
  <si>
    <t>Núcleo de Apoyo a la Competitividad y Creación de Empresas TIC</t>
  </si>
  <si>
    <t>Centro Nacional de Información Geográfica -Instituto Geográfico Nacional</t>
  </si>
  <si>
    <t>EDIA - Empresa de Desenvolvimento e Infra-estruturas do Alqueva, SA</t>
  </si>
  <si>
    <t>Dirección General de Telecomunicaciones. consejería de Fomento y Medio Ambiente. Junta de Castilla y león</t>
  </si>
  <si>
    <t>CONSEJERIA DE FOMENTO Y MEDIO AMBIENTE (C.A. CASTILLA Y LEÓN)</t>
  </si>
  <si>
    <t>Valorización conjunta de espacios naturales (RED NATURA 2000) como Reserva de Biosfera Transfronteriza</t>
  </si>
  <si>
    <t>Agrupación Europea de Cooperación Territorial AECT ZASNET</t>
  </si>
  <si>
    <t>Câmara Municipal de Terras de Bouro</t>
  </si>
  <si>
    <t>CEOE-CEPYME Zamora</t>
  </si>
  <si>
    <t>Câmara Municipal de Portel</t>
  </si>
  <si>
    <t>Câmara Municipal de Reguengos de Monsaraz</t>
  </si>
  <si>
    <t>B</t>
  </si>
  <si>
    <t>Autoridade Florestal Nacional (AFN)</t>
  </si>
  <si>
    <t>INEGI - Instituto de Engenharia Mecânica e Gestão Industrial</t>
  </si>
  <si>
    <t>Observatorio Marino del Margen Ibérico y del Litoral</t>
  </si>
  <si>
    <t>Secretaria General de Calidad y Evaluación Ambiental (GA)</t>
  </si>
  <si>
    <t>INTECMAR - Instituto Tecnolóxico para o control do Medio Mariño de Galicia</t>
  </si>
  <si>
    <t>Instituto de Investigaciones Marinas de Vigo - IIM (CSIC)</t>
  </si>
  <si>
    <t>CATIM - Centro de Apoio Tecnológico á Indústria Matalomecâni</t>
  </si>
  <si>
    <t>Concello de Tomiño</t>
  </si>
  <si>
    <t>Asociación Forestal de Galicia</t>
  </si>
  <si>
    <t>0452_AGRINNDIF_2_E</t>
  </si>
  <si>
    <t>IPB - Instituto Politécnico de Bragança</t>
  </si>
  <si>
    <t>0453_A2_TRANSFER_6_E</t>
  </si>
  <si>
    <t>Centro Tecnológico Agroindustria - ADESVA</t>
  </si>
  <si>
    <t>0454_TRANS_FORMACION_4_E</t>
  </si>
  <si>
    <t>RED DE CENTROS DE FORMACIÓN AGRARIA</t>
  </si>
  <si>
    <t>0456_RETALER_II_6_E</t>
  </si>
  <si>
    <t>Asociación Cluster de la Energía de Extremadura</t>
  </si>
  <si>
    <t>Santa Casa da Misericordia de Arcos de Valdevez</t>
  </si>
  <si>
    <t>Asociación Española contra el Cáncer. Junta provincial de Huelva</t>
  </si>
  <si>
    <t>0528_ESTACIONES_VIVAS_1_E</t>
  </si>
  <si>
    <t>DIPUTACIÓN DE PONTEVEDRA</t>
  </si>
  <si>
    <t>Universidade de Coimbra</t>
  </si>
  <si>
    <t>0381_CONCAN_5_E</t>
  </si>
  <si>
    <t>Proyecto Hispano-Luso contra el Cáncer</t>
  </si>
  <si>
    <t>Associação Oncológica do Algarve</t>
  </si>
  <si>
    <t>Red Transfronteriza de Autoridades Locales en Energías Renovables II</t>
  </si>
  <si>
    <t>Mancomunidad Integral de Municipios Sierra de Gata</t>
  </si>
  <si>
    <t>Associação de Municípios da Terra Fria do Nordeste Transmontano</t>
  </si>
  <si>
    <t>CONFEDERACIÓN HIDROGRAFICA DEL GUADIANA (MARM)</t>
  </si>
  <si>
    <t>Ayuntamiento de Alconchel</t>
  </si>
  <si>
    <t>Auntamiento de Villanueva del Fresno</t>
  </si>
  <si>
    <t>Câmara Municipal de Alandroal</t>
  </si>
  <si>
    <t>Município de Mourão</t>
  </si>
  <si>
    <t>0441_ZOONOSIS_2_E</t>
  </si>
  <si>
    <t>DGV - Direcção-Geral de Veterinária</t>
  </si>
  <si>
    <t>Sociedade Portuguesa de Hidrología Médica</t>
  </si>
  <si>
    <t>Associação das Termas de Portugal</t>
  </si>
  <si>
    <t>Câmara Municipal de Ponte da Barca</t>
  </si>
  <si>
    <t>Ecomuseu  Associação de Barroso</t>
  </si>
  <si>
    <t>0592_RTV_4_P</t>
  </si>
  <si>
    <t>Rede Transfronteiriça de Voluntariado</t>
  </si>
  <si>
    <t>CRUZ ROJA ESPAÑOLA</t>
  </si>
  <si>
    <t>CRUZ VERMELHA EVORA</t>
  </si>
  <si>
    <t>CONSEJERIA DE MEDIO AMBIENTE (AN)</t>
  </si>
  <si>
    <t>0590_CEI_CYT_3_P</t>
  </si>
  <si>
    <t>0505_FENIX_RIEP_4_E</t>
  </si>
  <si>
    <t>Ayuntamiento de Los Santos de Maimona</t>
  </si>
  <si>
    <t>Fundación Maimona</t>
  </si>
  <si>
    <t>Fundación Cáceres Capital</t>
  </si>
  <si>
    <t>Fomento de la Iniciativa Joven S.A.U.</t>
  </si>
  <si>
    <t>0506_TRANSEBT_5_E</t>
  </si>
  <si>
    <t>Fundación Red Andalucía Emprende</t>
  </si>
  <si>
    <t>Parque Científico y Tecnológico de Huelva, S.A.</t>
  </si>
  <si>
    <t>0507_FRONTERA_NATURAL_6_E</t>
  </si>
  <si>
    <t>Recuperación integral y sostenible de la frontera</t>
  </si>
  <si>
    <t>Estructura empresarial conjunta en la eurorregión para la el impulso y la captación de la inversión internacional</t>
  </si>
  <si>
    <t>INSTITUTO GALEGO DE PROMOCIÓN ECONÓMICA (IGAPE) (GA)</t>
  </si>
  <si>
    <t>Unidade Local de Saúde da Guarda, E.P.E.</t>
  </si>
  <si>
    <t>0585_NANOVALOR_6_P</t>
  </si>
  <si>
    <t>0587_TAG _5_P</t>
  </si>
  <si>
    <t>TURISMO ACTIVO GUADIANA</t>
  </si>
  <si>
    <t>Ayuntamiento de Cartaya</t>
  </si>
  <si>
    <t>Mancomunidad de Municipios de Beturia (Huelva)</t>
  </si>
  <si>
    <t>Ayuntamiento de Ayamonte</t>
  </si>
  <si>
    <t>Câmara Municipal de Vila Real de Santo António</t>
  </si>
  <si>
    <t>0588_UADITURS_5_P</t>
  </si>
  <si>
    <t>Turismo Sustentável no Baixo/Bajo Guadiana</t>
  </si>
  <si>
    <t>0571_JANELA_ABERTA_5_P</t>
  </si>
  <si>
    <t>0572_REDE_CIDADES_CENCYL_3_P</t>
  </si>
  <si>
    <t>Rede de Cidades Sustentáveis CENCYL</t>
  </si>
  <si>
    <t>Ayuntamiento de Miranda de Ebro</t>
  </si>
  <si>
    <t>AYUNTAMIENTO DE BURGOS</t>
  </si>
  <si>
    <t>AYUNTAMIENTO DE VALLADOLID</t>
  </si>
  <si>
    <t>Câmara Municipal de Coimbra</t>
  </si>
  <si>
    <t>Munícipio de Aveiro</t>
  </si>
  <si>
    <t>Município de Viseu</t>
  </si>
  <si>
    <t>Concello de Ponteareas</t>
  </si>
  <si>
    <t>Calidad Ambiental de las Reservas naturales fluviales InternacionaleS y del Medio Acuático</t>
  </si>
  <si>
    <t>PLAN DE MEJORA DE LA COMPETITIVIDAD Y SOSTENIBILIDAD TURÍSTICA DEL ESPECIO RAYANO HISPANO LUSO II</t>
  </si>
  <si>
    <t>Consorcio Tranfronterizo de Ciudades Amuralladas</t>
  </si>
  <si>
    <t>Consejo Andaluz de Cámaras de Comercio</t>
  </si>
  <si>
    <t>Universidade Católica Portuguesa - Faculdade de Ciênciais Sociais</t>
  </si>
  <si>
    <t>Comunidad de Espacios Rurales para una Nueva Economía Sostenible</t>
  </si>
  <si>
    <t>DRAPN - Direcção Regional de Agricultura e Pescas do Norte</t>
  </si>
  <si>
    <t>Administração da Região Hidrográfica do Norte, IP</t>
  </si>
  <si>
    <t>Agrupamento de Centros de Saúde de Alto Tras-Os-Montes I Nordeste. ARS Norte (ACES Nordeste)</t>
  </si>
  <si>
    <t>Camara de Comercio, Industria y Navegación de Huelva</t>
  </si>
  <si>
    <t>Unión General de Trabajadores de Andalucía - UGT Andalucía</t>
  </si>
  <si>
    <t>Comisiones Obreras de Andalucía - CCOO Andalucía</t>
  </si>
  <si>
    <t>CONSEJERIA DE FAMILIA E IGUALDAD DE OPORTUNIDADES (C.A. CASTILLA Y LEÓN)</t>
  </si>
  <si>
    <t>CCDR Algarve - Comissão de Coordenação e Desenvolvimento Regional do Algarve</t>
  </si>
  <si>
    <t>Consejería de la Presidencia. Junta de Castilla y León</t>
  </si>
  <si>
    <t>GERENCIA DE SERVICIOS SOCIALES(C.A. CASTILLA Y LEÓN)</t>
  </si>
  <si>
    <t>Agencia Galega de Desenvolvimento Rural AGADER</t>
  </si>
  <si>
    <t>Administração Regional de Saúde do Alentejo</t>
  </si>
  <si>
    <t>Administração Regional de Saúde do Algarve</t>
  </si>
  <si>
    <t>Fundación INTRAS</t>
  </si>
  <si>
    <t>0463_EUROCLUSTEX_MAS_1_P</t>
  </si>
  <si>
    <t>0435_VIACOMPAT_2_E</t>
  </si>
  <si>
    <t>0401_RITECA_II_4_E</t>
  </si>
  <si>
    <t>IPBeja - Instituto Politécnico de Beja</t>
  </si>
  <si>
    <t>Instituto Politécnico de Portalegre</t>
  </si>
  <si>
    <t>Associaçao Dos Centros Tecnológicos de Portugal</t>
  </si>
  <si>
    <t>CTIC  Centro Tecnológico das Industrias do Couro</t>
  </si>
  <si>
    <t>Fundación CARTIF</t>
  </si>
  <si>
    <t>0386_CORCHAÇÃO_4_E</t>
  </si>
  <si>
    <t>0474_COOPERA_MAS_1_E</t>
  </si>
  <si>
    <t>Cámara de Comercio y Navegación de Vigo</t>
  </si>
  <si>
    <t>Agenda Digital Local de la Eurorregión Galicia-Norte de Portugal</t>
  </si>
  <si>
    <t>CCDR Norte - Comissão de Coordenação e Desenvolvimento Regional do Norte</t>
  </si>
  <si>
    <t>Eixo Atlântico do Noroeste Peninsular (Portugal)</t>
  </si>
  <si>
    <t>Organismo Autónomo para el Desarrollo Local. Diputación de Cáceres</t>
  </si>
  <si>
    <t>Câmara Municipal de Caminha</t>
  </si>
  <si>
    <t>CIMAA - Comunidade Intermunicipal do Alto Alentejo</t>
  </si>
  <si>
    <t>Comunidade Intermunicipal do Alentejo Central- CIMAC</t>
  </si>
  <si>
    <t>AREAL - Agência Regional de Energia e Ambiente do Algarve</t>
  </si>
  <si>
    <t>0378_CITAA_II_5_E</t>
  </si>
  <si>
    <t>União dos Sindicatos do Algarve / CGTP-IN</t>
  </si>
  <si>
    <t>CONSEJERIA DE PRESIDENCIA (AN)</t>
  </si>
  <si>
    <t>Universidade de Aveiro - Centro de Estudos do Ambiente e do Mar (CESAM)</t>
  </si>
  <si>
    <t>0352_REALCE_4_E</t>
  </si>
  <si>
    <t>RED EDUCATIVA DE ALENTEJO-CENTRO-EXTREMADURA</t>
  </si>
  <si>
    <t>DREC - Direcção Regional de Educação do Centro</t>
  </si>
  <si>
    <t>0354_ARTE_6_E</t>
  </si>
  <si>
    <t>CONVIVIR EN EL ARTE</t>
  </si>
  <si>
    <t>Fundación Antonio Gala para jóvenes creadores</t>
  </si>
  <si>
    <t>UNIVERSIDAD DE SALAMANCA</t>
  </si>
  <si>
    <t>Centro de Estudos Ibéricos</t>
  </si>
  <si>
    <t>Fundação Robinson</t>
  </si>
  <si>
    <t>Fundação Eugénio de Almeida</t>
  </si>
  <si>
    <t>SECRETARIA GENERAL DE ECONOMIA (AN)</t>
  </si>
  <si>
    <t>CEAL - Confederação dos Empresários do Algarve</t>
  </si>
  <si>
    <t>0357_REDES_II_3_E</t>
  </si>
  <si>
    <t>Red Escénica</t>
  </si>
  <si>
    <t>Centro de Supercomputación de Galicia - CESGA</t>
  </si>
  <si>
    <t>REDE DE TRANSFERÊNCIA DE CONHECIMENTO UNIVERSIDADE - EMPRESA. REGIÃO CENTRO DE PORTUGAL - CASTILHA Y LEÓN</t>
  </si>
  <si>
    <t>Fundación General de la Universidad de León y de la Empresa (FGULEM)</t>
  </si>
  <si>
    <t>2 - Norte de Portugal-Castilla y León</t>
  </si>
  <si>
    <t>3 - Castilla y León - Centro de Portugal</t>
  </si>
  <si>
    <t>4 - Centro-Extremadura-Alentejo</t>
  </si>
  <si>
    <t>5 - Alentejo-Algarve-Andalucía</t>
  </si>
  <si>
    <t>6 - Plurirregional</t>
  </si>
  <si>
    <t>0479_BIODIV_GNP_1_E</t>
  </si>
  <si>
    <t>Universidade do Porto</t>
  </si>
  <si>
    <t>Fundação Fernão Magalhães para o Desenvolvimento</t>
  </si>
  <si>
    <t>0480_CERNES_1_E</t>
  </si>
  <si>
    <t>0483_AL_MUTAMID_5_E</t>
  </si>
  <si>
    <t>Câmara Municipal de Tavira</t>
  </si>
  <si>
    <t>Câmara Municipal de Silves</t>
  </si>
  <si>
    <t>FUNDACIÓN PARA EL DESARROLLO DEL LEGADO ANDALUSÍ</t>
  </si>
  <si>
    <t>IPVC - Instituto Politécnico de Viana do Castelo</t>
  </si>
  <si>
    <t>Fundación CETMAR - Centro Tecnológico del Mar</t>
  </si>
  <si>
    <t>0335_EMPRENDE_1_E</t>
  </si>
  <si>
    <t>Jóvenes Emprendedores de la Eurorregión</t>
  </si>
  <si>
    <t>IPJ - Instituto Português da Juventude</t>
  </si>
  <si>
    <t>DX Xuventude e Voluntariado (GA)</t>
  </si>
  <si>
    <t>Confederación Empresarios de Galicia</t>
  </si>
  <si>
    <t>FNAJ - Federação Nacional de Associações Juvenis</t>
  </si>
  <si>
    <t>0336_CTPTR_4_E</t>
  </si>
  <si>
    <t>CIRCUITO TURÍSTICO POR TIERRAS RAYANAS</t>
  </si>
  <si>
    <t>Ayuntamiento de Alburquerque</t>
  </si>
  <si>
    <t>Ayuntamiento de Barcarrota</t>
  </si>
  <si>
    <t>Ayuntamiento De Jerez De Los Caballeros</t>
  </si>
  <si>
    <t>Ayuntamiento de Olivenza</t>
  </si>
  <si>
    <t>Ayuntamiento Valencia de Alcántara</t>
  </si>
  <si>
    <t>Ayuntamiento de Coria</t>
  </si>
  <si>
    <t>Ayuntamiento de Alcántara</t>
  </si>
  <si>
    <t>Turismo do Porto e Norte de Portugal</t>
  </si>
  <si>
    <t>0363_MARCADUERO_2_E</t>
  </si>
  <si>
    <t>Turismo, Comunicación y Promoción de Zamora, S.A.</t>
  </si>
  <si>
    <t>Câmara Municipal de Miranda do Douro</t>
  </si>
  <si>
    <t>UNIVERSIDADE DA CORUÑA</t>
  </si>
  <si>
    <t>Universidade da Beira Interior</t>
  </si>
  <si>
    <t>0561_INESPO_3_P</t>
  </si>
  <si>
    <t>Universidade de Aveiro</t>
  </si>
  <si>
    <t>Fundación General de la Universidad de Valladolid</t>
  </si>
  <si>
    <t>Ayuntamiento de Táliga</t>
  </si>
  <si>
    <t>0368_NORCYL_MAS_2_E</t>
  </si>
  <si>
    <t>0370_NET_6_E</t>
  </si>
  <si>
    <t>Nuevo Espacio Transfronterizo</t>
  </si>
  <si>
    <t>IGP - Instituto Geográfico Português</t>
  </si>
  <si>
    <t>Universidade de Évora</t>
  </si>
  <si>
    <t>IPCB - Instituto Politécnico de Castelo Branco</t>
  </si>
  <si>
    <t>DIPUTACIÓN DE BADAJOZ</t>
  </si>
  <si>
    <t>UNIVERSIDAD DE EXTREMADURA</t>
  </si>
  <si>
    <t>AYUNTAMIENTO DE MÉRIDA</t>
  </si>
  <si>
    <t>Cooperación en Transportes y Logística en el territorio Centro-Castilla y León</t>
  </si>
  <si>
    <t>Asociación de las Sociedades Gestoras de los Enclaves Logísticos - CYLOG</t>
  </si>
  <si>
    <t>Culturguarda - Gestão da Sala de Espectáculos e Actividades Culturais, EM</t>
  </si>
  <si>
    <t>0459_EUROCIUDAD_II_1_E</t>
  </si>
  <si>
    <t>Eurociudad Chaves-Verín II</t>
  </si>
  <si>
    <t>Municipio de Verin</t>
  </si>
  <si>
    <t>0461_BIOURB_2_E</t>
  </si>
  <si>
    <t>Ayuntamiento de Trabanca</t>
  </si>
  <si>
    <t>Fundación CIDAUT</t>
  </si>
  <si>
    <t>AYUNTAMIENTO DE OURENSE</t>
  </si>
  <si>
    <t>0543_TEAM_MINO_1_E</t>
  </si>
  <si>
    <t>Aguas de Galicia. Conselleria de Medioambiente</t>
  </si>
  <si>
    <t>Câmara Municipal de Vila do Conde</t>
  </si>
  <si>
    <t>Mancomunidade de Municipios do Baixo Miño</t>
  </si>
  <si>
    <t>0544_ADLA _4_P</t>
  </si>
  <si>
    <t>0500_CT_GNP_AECT_1_P</t>
  </si>
  <si>
    <t>Instituto Galego de Estatística. Xunta de Galicia</t>
  </si>
  <si>
    <t>0501_GE2CS_1_E</t>
  </si>
  <si>
    <t>Instituto Enerxético de Galicia (INEGA)</t>
  </si>
  <si>
    <t>Fundación CEO para el Desarrollo Empresarial</t>
  </si>
  <si>
    <t>0502_FIAVAL_6_E</t>
  </si>
  <si>
    <t>0551_NACCE_1_E</t>
  </si>
  <si>
    <t>D.X. PROMOCIÓN EMPREGO (GA)</t>
  </si>
  <si>
    <t>AGESTIC  Asociación Gallega de Empresas TIC</t>
  </si>
  <si>
    <t>Associação CCG/ZGDV Centro de Comutação Gráfica</t>
  </si>
  <si>
    <t>DREALENT- Direcção Regional de Educação do Alentejo</t>
  </si>
  <si>
    <t>Comunidade Intermunicipal do Minho-Lima- CIM ALTO MINHO</t>
  </si>
  <si>
    <t>Cooperación Intersindical Transfronteriza Andalucía-Algarve II</t>
  </si>
  <si>
    <t>IPTM - Instituto Portuário e dos Transportes Marítimos - Delegação do Sul</t>
  </si>
  <si>
    <t>Dirección General de Calidad, Innovación y Formación del Profesorado - Consejería de Educación - Junta de Castilla y León</t>
  </si>
  <si>
    <t>Confederación Regional Empresarial Extremeña (CREEX)</t>
  </si>
  <si>
    <t>Ambifaro - Agência para o Desenvolvimento Económico de Faro, S.A.</t>
  </si>
  <si>
    <t>Confederación Empresarial del Comercio de Andalucía - CECA</t>
  </si>
  <si>
    <t>Fundación Andaluza de Imagen, Color y Óptica - FAICO</t>
  </si>
  <si>
    <t>Fundación Centro Andaluz del Sector Cárnico - TEICA</t>
  </si>
  <si>
    <t>INSTIT.ANDALUZ DE INVESTIGACIÓN Y FORMACIÓN AGRARIA, PESQUERA, ALIMENTARIA Y PROD.ECOLÓGICA</t>
  </si>
  <si>
    <t>CONSEJERIA DE CULTURA Y TURISMO (C.A. CASTILLA Y LEÓN)</t>
  </si>
  <si>
    <t>Centro Interdisciplinar de Investigação Marinha e Ambiental da Universidade do Porto. CIIMAR-UP</t>
  </si>
  <si>
    <t>Laboratório Ibérico Internacional de Nanotecnologia</t>
  </si>
  <si>
    <t>Associação Transfronteiriça dos Municípios das Terras do Grande Lago Alqueva</t>
  </si>
  <si>
    <t>CONSEJERIA DE AGRICULTURA Y GANADERÍA (C.A. CASTILLA Y LEÓN)</t>
  </si>
  <si>
    <t>Agencia de Protección de la Salud y Seguridad Alimentaria. Consejería de Sanidad. Junta de Castilla y León</t>
  </si>
  <si>
    <t>CERCIG - Cooperativa de Educação e Reabilitação de Cidadãos Inadaptados da Guarda</t>
  </si>
  <si>
    <t>Instituto tecnológico Agrario de Castilla y León - Junta de Castilla y Leon</t>
  </si>
  <si>
    <t>AGENCIA DE INNOVACION Y DESARROLLO DE ANDALUCIA (IDEA)</t>
  </si>
  <si>
    <t>ADPM - Associação de Defesa do Património de Mértola</t>
  </si>
  <si>
    <t>Dirección General de Desarrollo Sostenible y Información Ambiental. Consejería de Medio Ambiente. Junta de Andalucía</t>
  </si>
  <si>
    <t>INTROMAC - Instituto Tecnológico de Rocas Ornamentales y Materiales de Construcción</t>
  </si>
  <si>
    <t>AREANATejo - Agência Regional de Energia e Ambiente do Norte Alentejano e Tejo</t>
  </si>
  <si>
    <t>Centro de Referencia Estatal de Atención a Personas con Enfermedad de Alzheimer y otras Demencias</t>
  </si>
  <si>
    <t>Associação de Apoio e Estudo às Psicognosis na Raia Central - ASPSI</t>
  </si>
  <si>
    <t>Associação Humanitária de Doentes De Parkinson e Alzheimer - AHDPA</t>
  </si>
  <si>
    <t>Fundación Parque Científico de la Universidad de Salamanca</t>
  </si>
  <si>
    <t>Red transfronteriza de Innovación Económica centrada en las Personas</t>
  </si>
  <si>
    <t>Transferencia de herramientas para la Evaluación, Ordenación, Gestión y Educación Ambiental en Estuarios</t>
  </si>
  <si>
    <t>Centro de Estudos Ibéricos - Cooperação &amp; Território: Conhecimento, Cultura e Coesão Territorial</t>
  </si>
  <si>
    <t>Transferencia de nuevas tecnologías en la industria agroalimentaria andalucia-alentejo</t>
  </si>
  <si>
    <t>Prevención de Riesgos Beira Interior Norte - Provincia de Salamanca II</t>
  </si>
  <si>
    <t>0365_CENCYL_MAS_3_E</t>
  </si>
  <si>
    <t>0366_LOGISTICA_CENCYL_3_E</t>
  </si>
  <si>
    <t>AYUNTAMIENTO DE SALAMANCA</t>
  </si>
  <si>
    <t>Câmara Municipal da Guarda</t>
  </si>
  <si>
    <t>Câmara Municipal da Figueira da Foz</t>
  </si>
  <si>
    <t>Administração do Porto de Aveiro S.A. APA</t>
  </si>
  <si>
    <t>Impulso de una Red Intercomunitaria de Excelencia Ambiental mediante la rehabilitación de ecosistemas fluviales naturales con fines turísticos</t>
  </si>
  <si>
    <t>Associção de Defesa do Património Histórico e Arqueológico de Aljezur</t>
  </si>
  <si>
    <t>AGENCIA DE INVERSIONES Y SERVICIOS DE CASTILLA Y LEÓN</t>
  </si>
  <si>
    <t>Fundación Parque Científico de la Universidad de Valladolid</t>
  </si>
  <si>
    <t>Instituto de la Juventud de Castilla y León - Junta de Castilla y León</t>
  </si>
  <si>
    <t>Associação para o Desenvolvimento Integrado da Região do Barroso - ADIRBA</t>
  </si>
  <si>
    <t>Dirección General de Telecomunicaciones. Consejería de Fomento. Junta de Castilla y León</t>
  </si>
  <si>
    <t>Organismo Autónomo de Recaudación y Gestión Tributaria de la Diputación de Salamanca - REGTSA</t>
  </si>
  <si>
    <t>Agrupación Europea de Cooperación Territorial Duero-Douro - AECT Duero-Douro</t>
  </si>
  <si>
    <t>Turismo do Algarve - Entidade Regional de Turismo do Algarve</t>
  </si>
  <si>
    <t>Promosagres - Associação Empresarial para a Promoção de Sagres</t>
  </si>
  <si>
    <t>IEFP - Instituto do Emprego e Formação Profissional - Delegação Regional do Norte</t>
  </si>
  <si>
    <t>IEFP - Instituto do Emprego e Formação Profissional - Delegação Regional do Centro</t>
  </si>
  <si>
    <t>Administração da Região Hidrográfica do Algarve, I.P.</t>
  </si>
  <si>
    <t>Instituto de Recursos Naturales y Agrobiología de Sevilla - CSIC</t>
  </si>
  <si>
    <t>DG de Evalución y Calidad Ambiental. Consejería de Industria, Energía y Medio Ambiente. Junta de Extremadura</t>
  </si>
  <si>
    <t>APCOR - Associação Portuguesa de Cortiça</t>
  </si>
  <si>
    <t>0387_CILSIBA_4_E</t>
  </si>
  <si>
    <t>Corredor de innovación Logística Sines-Badajoz</t>
  </si>
  <si>
    <t>Administração do porto de Sines</t>
  </si>
  <si>
    <t>Ayuntamiento de Plasencia</t>
  </si>
  <si>
    <t>AYUNTAMIENTO DE CÁCERES</t>
  </si>
  <si>
    <t>0390_RED_NOVA_SOSTENIBLE_4_E</t>
  </si>
  <si>
    <t>Promoção do Uso Sustentável de Biomassa Florestal para Fins Energéticos no Norte de Portugal e Sul da Galiza</t>
  </si>
  <si>
    <t>Agência Regional de Energia e Ambiente do Alto Minho</t>
  </si>
  <si>
    <t>AYUNTAMIENTO DE SANTIAGO DE COMPOSTELA</t>
  </si>
  <si>
    <t>AYUNTAMIENTO DE LUGO</t>
  </si>
  <si>
    <t>Câmara Municipal de Melgaço</t>
  </si>
  <si>
    <t>Centro de Computação Gráfica Azurém</t>
  </si>
  <si>
    <t>0416_ECIC_II_6_E</t>
  </si>
  <si>
    <t>Confederación de Empresarios de Pontevedra</t>
  </si>
  <si>
    <t>Confederación Empresarial de Ourense</t>
  </si>
  <si>
    <t>ASSOCIAÇÃO EMPRESARIAL DE VIANA DO CASTELO</t>
  </si>
  <si>
    <t>D.X. FORMACIÓN E COLOCACIÓN (GA)</t>
  </si>
  <si>
    <t>Associação Parkurbis Incubação</t>
  </si>
  <si>
    <t>0392_PIMET_4_E</t>
  </si>
  <si>
    <t>Associação Portuguesa de Escolas Profissionais Agrícolas</t>
  </si>
  <si>
    <t>Escola Profissional de Desenvolvimento Rural de Serpa</t>
  </si>
  <si>
    <t>Dirección General de Acción Exterior - Junta de Extremadura</t>
  </si>
  <si>
    <t>CCDR Centro - Comissão de Coordenação e Desenvolvimento Regional do Centro</t>
  </si>
  <si>
    <t>CCDR Alentejo - Comissão de Coordenação e Desenvolvimento Regional do Alentejo</t>
  </si>
  <si>
    <t>Dirección General del Medio Natural. Consejería de Industria, Energía y Medio Ambiente. Junta de Extremadura</t>
  </si>
  <si>
    <t>ODIANA - Associação para o Desenvolvimento do Baixo Guadiana</t>
  </si>
  <si>
    <t>Afirmar la Beira Interior Norte-Provincia de Salamanca</t>
  </si>
  <si>
    <t>Apoyo a la Comunidad de Trabajo Castilla y León-Centro de Portugal y a los Gabinetes de Iniciativas Transfronterizas</t>
  </si>
  <si>
    <t>Sociedad de Imagen y Promoción Turística de Galicia, S.A. - TURGALICIA</t>
  </si>
  <si>
    <t>Asociación Multisectorial de Empresas de Nuevas Tecnologías de la Formación y Comunicación- INEO</t>
  </si>
  <si>
    <t>BIC MINHO (Oficina da Inovação - emprendedorismo e inovação empresarial, SA)</t>
  </si>
  <si>
    <t>TECMINHO - Associação Universidade Empresa para o Desenvolvimento</t>
  </si>
  <si>
    <t>Autoridade Nacional de Protecção Civil- CDOS Guarda</t>
  </si>
  <si>
    <t>Caracterización ambiental y análisis de riesgos en cuencas transfronterizas: proyecto piloto en el río Águeda</t>
  </si>
  <si>
    <t>Instituto de Recursos Naturales y Agrobiología de Salamanca (IRNASA) - CSIC</t>
  </si>
  <si>
    <t>Fundación Ciudad Rodrigo</t>
  </si>
  <si>
    <t>0476_AQUATURNAT_1_E</t>
  </si>
  <si>
    <t>Câmara Municipal de Paredes de Coura</t>
  </si>
  <si>
    <t>Fundación Mondariz Balneario</t>
  </si>
  <si>
    <t>Axencia Galega de Emerxencias - AXEGA</t>
  </si>
  <si>
    <t>0450_AGRI_SOS_6_E</t>
  </si>
  <si>
    <t>0451_SILVAPLUS_1_P</t>
  </si>
  <si>
    <t>Valoración del espacio entorno al patrimonio cultural</t>
  </si>
  <si>
    <t>INORDE - Instituto Ourensano de Desarrollo Económico</t>
  </si>
  <si>
    <t>Iberlinx II - Acção territorial transfronteiriça de conservação do lince-ibérico</t>
  </si>
  <si>
    <t>ARECBA - Agência Regional de Energia do Centro e Baixo Alentejo</t>
  </si>
  <si>
    <t>0552_ENVEJECIMIENTO_ACTIVO_1_E</t>
  </si>
  <si>
    <t>Asociación Amicos</t>
  </si>
  <si>
    <t>MARCA DUERO DURADERO: Sostenibilidad, Calidad y Promoción</t>
  </si>
  <si>
    <t>PREVENÇÃO DE RISCOS NATURAIS E TECNOLÓGICOS NA FRONTEIRA, NORTE PORTUGAL-CASTELA E LEÃO (2ª CONVOCATÓRIA)</t>
  </si>
  <si>
    <t>Biodiversidad Vegetal Amenazada Galicia-Norte de Portugal. Conocer, gestionar e implicar.</t>
  </si>
  <si>
    <t>Fundación Centro de Estudios Eurorexionais Galicia - Norte de Portugal (Fundación CEER)</t>
  </si>
  <si>
    <t>ASOCIACION DE INVESTIGACION METALURGICA DEL NOROESTE (AIMEN)</t>
  </si>
  <si>
    <t>INRB - Instituto Nacional dos Recursos Biológicos</t>
  </si>
  <si>
    <t>Fundación Centro Tecnológico Industrial de Extremadura - CETIEX</t>
  </si>
  <si>
    <t>Instituto de Arqueología de Mérida - Agencia Estatal Consejo Superior de Investigaciones Científicas (CSIC)</t>
  </si>
  <si>
    <t>CENTIMFE - Centro Tecnológico da Indústria de Moldes, Ferramentas Especiais e Plásticos</t>
  </si>
  <si>
    <t>International Center for Technology in Virtual Reality - ICTVR</t>
  </si>
  <si>
    <t>CATAA  Associação Centro de Apoio Tecnológico Agro-Alimentar</t>
  </si>
  <si>
    <t>Centro de Biotecnologia Agrícola e Agro-Alimentar do Baixo Alentejo e Litoral - CEBAL</t>
  </si>
  <si>
    <t>Associação de Desenvolvimento Regional do Instituto Politécnico de Portalegre</t>
  </si>
  <si>
    <t>CEVALOR- Centro Tecnológico para o Aproveitamento e Valorização das Rochas Ornamentais e Industriais</t>
  </si>
  <si>
    <t>COTR - Centro Operativo e de Tecnologia de Regadio</t>
  </si>
  <si>
    <t>Associação do Cluster Agro-Industrial do Centro - INOVCLUSTER</t>
  </si>
  <si>
    <t>Asociación Provincial de Empresarios del Metal de Badajoz - ASPREMETAL</t>
  </si>
  <si>
    <t>Red de Investigación Transfronteriza de Extremadura, Centro y Alentejo (Fase II)</t>
  </si>
  <si>
    <t>CENTRO DE INVESTIGACIONES ENERGÉTICAS, MEDIOAMBIENTALES Y TECNOLÓGICAS (CIEMAT-MCI)</t>
  </si>
  <si>
    <t>0332_GIT_EUROACE_4_E</t>
  </si>
  <si>
    <t>ATP - Associação Têxtil e Vestuário de Portugal</t>
  </si>
  <si>
    <t>0464_SICOINFRONJO_4_E</t>
  </si>
  <si>
    <t>CONFEDERACION HIDROGRAFICA DEL TAJO (MARM)</t>
  </si>
  <si>
    <t>Administração da Região Hidrográfica do Tejo, IP</t>
  </si>
  <si>
    <t>0465_NEONATAL_5_E</t>
  </si>
  <si>
    <t>SERVICIO ANDALUZ DE SALUD (SAS)</t>
  </si>
  <si>
    <t>0467_MATERNO_INFANTIL_5_E</t>
  </si>
  <si>
    <t>0468_RED_TRANSDIGITAL_6_E</t>
  </si>
  <si>
    <t>Red Rural Digital Transfronteriza</t>
  </si>
  <si>
    <t>Ayuntamiento de Toro</t>
  </si>
  <si>
    <t>Municipio de Figueira de Castelo Rodrigo</t>
  </si>
  <si>
    <t>0469_XARCO_1_E</t>
  </si>
  <si>
    <t>CONFEDERACIÓN HIDROGRÁFICA DEL MIÑO-SIL</t>
  </si>
  <si>
    <t>Consorcio do Noroeste</t>
  </si>
  <si>
    <t>Câmara Municipal de Arcos de Valdevez</t>
  </si>
  <si>
    <t>0470_CARISMA_1_E</t>
  </si>
  <si>
    <t>Município de Valença do Minho</t>
  </si>
  <si>
    <t>Câmara Municipal de Monção</t>
  </si>
  <si>
    <t>ESAB - Escola Superior Agrária de Bragança</t>
  </si>
  <si>
    <t>0442_RED_AMBASAGUAS_6_E</t>
  </si>
  <si>
    <t>ASPRODES-FEAPS Salamanca</t>
  </si>
  <si>
    <t>Fundación Patrimonio Natural de Castilla y León</t>
  </si>
  <si>
    <t>Fundación Personas</t>
  </si>
  <si>
    <t>0443_LAN_PYMEXPORT_1_E</t>
  </si>
  <si>
    <t>Confederación de Empresarios de Lugo</t>
  </si>
  <si>
    <t>Universidade do Minho</t>
  </si>
  <si>
    <t>0446_VT_1_E</t>
  </si>
  <si>
    <t>Fundación Empresa-Universidad Gallega (FEUGA)</t>
  </si>
  <si>
    <t>0447_TUBERCONTROL_1_E</t>
  </si>
  <si>
    <t>0448_CLOUDPYME_1_E</t>
  </si>
  <si>
    <t>0449_ARIEM_112_6_E</t>
  </si>
  <si>
    <t>0419_TRADE_5_E</t>
  </si>
  <si>
    <t>ORGANISMO PUBLICO PUERTOS DEL ESTADO</t>
  </si>
  <si>
    <t>Instituto Hidrográfico - IH</t>
  </si>
  <si>
    <t>UNIVERSIDAD DE CÁDIZ</t>
  </si>
  <si>
    <t>CIM CAVADO - Comunidade Intermunicipal do Vale do Cavado</t>
  </si>
  <si>
    <t>Agrupación Europea de Cooperación Territorial Galicia-Norte de Portugal. AECT GNP</t>
  </si>
  <si>
    <t>ARDAL - Associação Regional de Desenvolvimento do Alto Lima</t>
  </si>
  <si>
    <t>Secretaría General de Salud Pública y Participación. Consejería de Salud. Junta de Andalucía</t>
  </si>
  <si>
    <t>GABINETE DE INICIATIVAS TRANSFRONTERIZAS EUROAAA</t>
  </si>
  <si>
    <t>Câmara Municipal de Almeida</t>
  </si>
  <si>
    <t>0343_G_MAS_A_5_E</t>
  </si>
  <si>
    <t>Guadiana Más Accesible</t>
  </si>
  <si>
    <t>Junta Vecinal de Tabuyo del Monte</t>
  </si>
  <si>
    <t>Ayuntamiento de A Mezquita</t>
  </si>
  <si>
    <t>0597_VALOR_GERES_XURES_1_P</t>
  </si>
  <si>
    <t>Nueva comunidad virtual de PYMES exportadoras: servicios avanzados para la internacionalización</t>
  </si>
  <si>
    <t>ASOCIACIÓN NACIONAL DE FABRICANTES DE CONSERVAS DE PESCADOS Y MARISCOS (ANFACO)</t>
  </si>
  <si>
    <t>1 - Galicia-Norte de Portugal</t>
  </si>
  <si>
    <t>VÍAS DE COMUNICACIÓN DEL PATRIMONIO</t>
  </si>
  <si>
    <t>0436_DESCUBRITER_5_E</t>
  </si>
  <si>
    <t>Direcção Regional de Cultural do Algarve</t>
  </si>
  <si>
    <t>AYUNTAMIENTO DE SANLÚCAR DE BARRAMEDA</t>
  </si>
  <si>
    <t>Ayuntamiento de Palos de la Frontera</t>
  </si>
  <si>
    <t>Câmara Municipal de Lagos</t>
  </si>
  <si>
    <t>Câmara Municipal de Vila do Bispo</t>
  </si>
  <si>
    <t>Fundación Nao Victoria</t>
  </si>
  <si>
    <t>0438_CFPDI_6_E</t>
  </si>
  <si>
    <t>CONSEJERIA DE EDUCACIÓN (C.A. CASTILLA Y LEÓN)</t>
  </si>
  <si>
    <t>Fundación Galicia Europa</t>
  </si>
  <si>
    <t>Câmara Municipal de Marvão</t>
  </si>
  <si>
    <t>Câmara Municipal de Idanha-a-Nova</t>
  </si>
  <si>
    <t>Câmara Municipal de Campo Maior</t>
  </si>
  <si>
    <t>Câmara Municipal de Estremoz</t>
  </si>
  <si>
    <t>Município de Castelo de Vide</t>
  </si>
  <si>
    <t>0337_TI_II_4_E</t>
  </si>
  <si>
    <t>Tæjo Internacional</t>
  </si>
  <si>
    <t>Rede de Turismo de Aldeia do Alentejo</t>
  </si>
  <si>
    <t>Asociación La Raya</t>
  </si>
  <si>
    <t>SEXPE(EX)</t>
  </si>
  <si>
    <t>D.G. DE TURISMO(EX)</t>
  </si>
  <si>
    <t>Dirección General de Desarrollo Rural. Consejería de Agricultura, Desarrollo Rural, Medio Ambiente y Energía. Junta de Extremadura</t>
  </si>
  <si>
    <t>Dirección General de Medio Ambiente. Consejería de Agricultura, Desarrollo Rural, Medio Ambiente y Energía. Junta de Extremadura</t>
  </si>
  <si>
    <t>Dirección General de Ordenación del Territorio y Urbanismo. Consejería de Fomento, Vivienda, Ordenación del Territorio y Turismo</t>
  </si>
  <si>
    <t>Dirección General de Administración Local, Justicia e Interior. Consejería de Administración Pública. Junta de Extremadura</t>
  </si>
  <si>
    <t>Agencia Extremeña de la Energía</t>
  </si>
  <si>
    <t>Centro Distrital Segurança Social de Viana do Castelo do ISS, IP</t>
  </si>
  <si>
    <t>Asociación Provincial de Pensionistas y Jubilados U.D.P. de A Coruña</t>
  </si>
  <si>
    <t>Sociedade Galega de Xerontoloxía e Xeriatría - SGXX</t>
  </si>
  <si>
    <t>Uniminho - Associação do Vale do Minho Transfronteiriço</t>
  </si>
  <si>
    <t>AOTAD - Associação de Olivicultores de Tras-os-Montes e Alto Douro</t>
  </si>
  <si>
    <t>Plataforma virtual para la transferencia de materiales ecológicos a la industria del automóvil de la Eurorregión</t>
  </si>
  <si>
    <t>0565_MOBI2GRID_1_P</t>
  </si>
  <si>
    <t>Câmara Municipal de Montalegre</t>
  </si>
  <si>
    <t>Câmara Municipal de Évora</t>
  </si>
  <si>
    <t>Câmara Municipal de Elvas</t>
  </si>
  <si>
    <t>Centro de Formación Turístico- Termal y de Investigación del Agua</t>
  </si>
  <si>
    <t>Secretaría Xeral para o Turismo. Consellería de Cultura e Turismo. Xunta de Galicia</t>
  </si>
  <si>
    <t>AYUNTAMIENTO DE BADAJOZ</t>
  </si>
  <si>
    <t>Asociación Cluster del Conocimiento de Extremadura</t>
  </si>
  <si>
    <t>0341_BIN_SAL_RIESGOS_II_3_E</t>
  </si>
  <si>
    <t>DIPUTACIÓN DE SALAMANCA</t>
  </si>
  <si>
    <t>AMCB - Associação de Municípios Cova da Beira</t>
  </si>
  <si>
    <t>0342_VIP_BIN_SAL_II_3_E</t>
  </si>
  <si>
    <t>Fundación Instituto Tecnológico de Galicia</t>
  </si>
  <si>
    <t>Polo de inovação, engenharia de Polímeros</t>
  </si>
  <si>
    <t>0526_GREENMOTION_1_E</t>
  </si>
  <si>
    <t>(ASECOR) Asociación Sanvicenteña de Empresarios del Corcho</t>
  </si>
  <si>
    <t>NERPOR - Associação Empresarial da Região de Portalegre</t>
  </si>
  <si>
    <t>Asociación Ibérica de Municipios Ribereños del Duero</t>
  </si>
  <si>
    <t>0410_AGUEDA_3_E</t>
  </si>
  <si>
    <t>Universidad Europea Miguel de Cervantes</t>
  </si>
  <si>
    <t>0411_DESOURB_1_E</t>
  </si>
  <si>
    <t>Desarrollo Sostenible Urbano</t>
  </si>
  <si>
    <t>0536_PROAMARE_1_E</t>
  </si>
  <si>
    <t>Protección activa del patrimonio del mar</t>
  </si>
  <si>
    <t>Fundação GIL EANNES</t>
  </si>
  <si>
    <t>CENTROS DE DINAMIZACIÓN INTEGRAL PARA LAS MUJERES EN LA EURORREGIÓN GALICIA - NORTE DE PORTUGAL</t>
  </si>
  <si>
    <t>Comissão para a Cidadania a Igualdade de Gênero - CIG</t>
  </si>
  <si>
    <t>Prodetur S.A. - Diputación de Sevilla</t>
  </si>
  <si>
    <t>Axencia Galega das Industrias Culturais</t>
  </si>
  <si>
    <t>Dirección General de Inversiones y Acción Exterior. Vicepresidencia y Portavocía. Presidencia de la Junta de Extremadura</t>
  </si>
  <si>
    <t>DIPUTACIÓN DE VALLADOLID</t>
  </si>
  <si>
    <t>Câmara Municipal de Sabugal</t>
  </si>
  <si>
    <t>Dirección General de Innovación Educativa y Formación del Profesorado. Consejería de educación. Junta de Castilla y león</t>
  </si>
  <si>
    <t>Insituto de Estudos do Territorio</t>
  </si>
  <si>
    <t>Dirección General de Transportes, Ordenación del Territorio y Urbanismo. Consejería de Fomento, Vivienda, Ordenación del Territorio y Turismo. Junta de Extremadura</t>
  </si>
  <si>
    <t>Institución ferial de Extremadura (FEVAL)</t>
  </si>
  <si>
    <t>Autoridade Nacional de Proteção Civil. CDOS Castelo Branco</t>
  </si>
  <si>
    <t>Herdade da Contenda, E.M.</t>
  </si>
  <si>
    <t>INIAV, I.P. - Instituto Nacional de Investigação Agrária e Veterinária, I.P.</t>
  </si>
  <si>
    <t>Unidade Local de Saúde do Nordeste (ULS), E.P.E.</t>
  </si>
  <si>
    <t>Ayuntamiento de Cuadros</t>
  </si>
  <si>
    <t>Ayuntamiento de Rabanales</t>
  </si>
  <si>
    <t>IPDJ - Instituto Português do Desporto e Juventude , I.P.</t>
  </si>
  <si>
    <t>Agencia para la Modernización Tecnológica de Galicia - AMTEGA</t>
  </si>
  <si>
    <t>Direção Geral do Território</t>
  </si>
  <si>
    <t>IPMA- Instituto Português do Mar e da Atmosfera, I.P.</t>
  </si>
  <si>
    <t xml:space="preserve">ICNF, I.P. - Instituto da Conservação da Natureza e das Florestas, I.P. </t>
  </si>
  <si>
    <t>0606_MITTIC_4_E</t>
  </si>
  <si>
    <t>Modernización e Innovación Tecnológica con base TIC en sectores estratégicos y tradicionales</t>
  </si>
  <si>
    <t>CTAEX - Centro Tecnológico Agroalimentario de Extremadura. Asociación Empresarial de Investigación</t>
  </si>
  <si>
    <t>CATAA – Associação Centro de Apoio Tecnológico Agro-Alimentar</t>
  </si>
  <si>
    <t>0607_ARPAD_1_E</t>
  </si>
  <si>
    <t>Archivo Digital, conservación del patrimonio documental y eliminación de papel en las relaciones administrativas</t>
  </si>
  <si>
    <t>CIXTEC (Centro Inform. Xestión Trib., Ec. Financ. E Cont.)</t>
  </si>
  <si>
    <t>Ayuntamiento de Tui</t>
  </si>
  <si>
    <t>0608_CUSTODIA_MEDIOAMBIENTAL_3</t>
  </si>
  <si>
    <t>Custodia del territorio y valorización del espacio natural transfronterizo</t>
  </si>
  <si>
    <t>Ayuntamiento de Santa Marta de Tormes</t>
  </si>
  <si>
    <t>0611_EURORREGION_2020_1_E</t>
  </si>
  <si>
    <t>Estrategia para el crecimiento inteligente, sostenible e integrador de la Eurorregión Galicia-Norte</t>
  </si>
  <si>
    <t>Axencia de Turismo de Galicia</t>
  </si>
  <si>
    <t>0614_EUROACE_INVEST_4_E</t>
  </si>
  <si>
    <t>Internacionalización de la Euroregión Alentejo-Centro Extremadura</t>
  </si>
  <si>
    <t>Real Sociedad Económica Extremeña de Amigos del País - RSEEAP</t>
  </si>
  <si>
    <t>0623_REDPAT_3_E</t>
  </si>
  <si>
    <t>Patrimonio Cultural en la Red</t>
  </si>
  <si>
    <t>Dirección General de Patrimonio Cultural. Consejería de Cultura y Turismo. Junta de Castilla y León</t>
  </si>
  <si>
    <t>Direção Regional de Cultura do Centro</t>
  </si>
  <si>
    <t>0624_TECNICEA_6_E</t>
  </si>
  <si>
    <t>Tecnología e Innovación en el Contexto Educativo del Alumnado</t>
  </si>
  <si>
    <t>0632_ENTIC_1_E</t>
  </si>
  <si>
    <t>Gestión inteligente y sostenible de la energía para la competitividad de las Pymes en la Eurorregión</t>
  </si>
  <si>
    <t>União de Associações Empresariais União das Associações Empresariais da Região Norte (UERN)</t>
  </si>
  <si>
    <t>AEdoAVE - Agência de Energia do Ave</t>
  </si>
  <si>
    <t>0640_RUTA_CECE_5_E</t>
  </si>
  <si>
    <t>Ruta hacia la cooperación empresarial y el comercio electrónico</t>
  </si>
  <si>
    <t>Ayuntamiento de La Palma del Condado</t>
  </si>
  <si>
    <t>Ayuntamiento de Lepe</t>
  </si>
  <si>
    <t>Ayuntamiento de Almonte</t>
  </si>
  <si>
    <t>Unión de Asociaciones de Trabajadores Autónomos y Emprendedores - UATAE</t>
  </si>
  <si>
    <t>MITA ONG - Centro de Desarrollo de Iniciativas Empresariales</t>
  </si>
  <si>
    <t>0655_GERITRANSA_5_E</t>
  </si>
  <si>
    <t>Gestión de riesgos transfronterizos Alentejo Algarve Andalucía</t>
  </si>
  <si>
    <t>INEM - Instituto Nacional de Emergência Média, I.P.</t>
  </si>
  <si>
    <t>EMPRESA PUBLICA DE EMERGENCIAS SANITARIAS (AN)</t>
  </si>
  <si>
    <t>0662_RAT_PC_II_4_E</t>
  </si>
  <si>
    <t>Implantación de Redes de Alerta Temprana para Planes de Protección Civil y Sistemas de Emergencias.</t>
  </si>
  <si>
    <t>Fundación Universidad - Sociedad. Universidad de Extremadura</t>
  </si>
  <si>
    <t>0668_ODYSSEA_5_E</t>
  </si>
  <si>
    <t>Implementar un innovador modelo europeo de desarrollo socioeconómico territorial entre los actores locales públicos y privados para mejor valorizar y dinamizar los recursos turísticos, náuticos...</t>
  </si>
  <si>
    <t>Secretaría General para el Turismo. Consejería de Turismo y Comercio. Junta de Andalucía</t>
  </si>
  <si>
    <t>Câmara Municipal de Grândola</t>
  </si>
  <si>
    <t>0671_RED_AGROTEC_6_E</t>
  </si>
  <si>
    <t>Red transfronteriza España Portugal de experimentación y transferencia para el desarrollo del sector agropecuario y agroindustrial</t>
  </si>
  <si>
    <t>0674_VALTAMEGA_1_E</t>
  </si>
  <si>
    <t>Valorización del corredor ambiental del río Támega</t>
  </si>
  <si>
    <t>0681_INVENNTA_1_E</t>
  </si>
  <si>
    <t>Innovación en Nanomedicina: apoyo al empleo y al desarrollo socio-económico en el nuevo ecosistema productivo de la Eurorregión.</t>
  </si>
  <si>
    <t>0682_CLOUDPYME2_1_E</t>
  </si>
  <si>
    <t>Mejorando la competitividad de las PYMEs a través de la innovación apoyada en herramientas TIC y Cloud.</t>
  </si>
  <si>
    <t>AIMMAP – Associação dos Industriais Metalúrgicos e Metalomecânicos de Portugal</t>
  </si>
  <si>
    <t>0687_NOVOMAR_1_P</t>
  </si>
  <si>
    <t>Consolidação do Centro Multipolar de Valorização de Recursos Marinhos visando Novos Usos do Mar</t>
  </si>
  <si>
    <t>ICBAS - Instituto de Ciências Biomédicas Abel Salazar</t>
  </si>
  <si>
    <t>A4TEC - Association for the Advancement of Tissue Engineering and Cell Based Technologies &amp; Therapies</t>
  </si>
  <si>
    <t>0688_RAIA_TEC_1_P</t>
  </si>
  <si>
    <t>Tecnologia Marítima e de Informação</t>
  </si>
  <si>
    <t>0693_INESPO_II_3_P</t>
  </si>
  <si>
    <t>Rede de Transferência de conhecimento Universidade-Empresa. Região Centro de Portugal-Castilha y León</t>
  </si>
  <si>
    <t>0695_TRADE2_5_P</t>
  </si>
  <si>
    <t>Sistema de Observação Interreg RADAR para proteção do meio ambiente</t>
  </si>
  <si>
    <t>Fundación FUNDECYT Parque científico y tecnológico de Extremadura</t>
  </si>
  <si>
    <t>Secretaría Xeral Técnica de Cultura e Turismo. Xunta de Galicia</t>
  </si>
  <si>
    <t>Dirección Xeral de Administración Local. Xunta de Galicia</t>
  </si>
  <si>
    <t>Dirección General de Comercio e Inversiones. Consejería de Empleo, Empresa e Innovación. Junta de Extremadura.</t>
  </si>
  <si>
    <t>Direção Geral dos Estabelecimentos Escolares. Direção de Serviços da Região Centro</t>
  </si>
  <si>
    <t>Direção Geral dos Estabelecimentos Escolares. Direção de Serviços da Região Norte</t>
  </si>
  <si>
    <t>Fundación para a Investigación, Desenvolvemento e Innovación Ramón Dominguez</t>
  </si>
  <si>
    <t>0683_UNIMINHO_ECOTUR_1_P</t>
  </si>
  <si>
    <t>0666_ACEINT_1_E</t>
  </si>
  <si>
    <t>Acelerador Transfronterizo para la creación de empresas TIC innovadoras orientadas a mercados internacionales</t>
  </si>
  <si>
    <t>INSTITUTO GALEGO DE PROMOCIÓN ECONÓMICA (IGAPE) (GA</t>
  </si>
  <si>
    <t>0619_EMPRENDEJOVE_MAS_3_E</t>
  </si>
  <si>
    <t>Câmara Municipal do Fundão</t>
  </si>
  <si>
    <t>0660_DESTINOS_INTELIGENTES_4_E</t>
  </si>
  <si>
    <t>Sistema TIC compartido de inteligencia turística em el área transfronteriza de Badajoz-Elvas</t>
  </si>
  <si>
    <t>Sociedad Estatal para la Gestión de la Innovación y las Tecnologías Turísticas S.A. (SEGITTUR)</t>
  </si>
  <si>
    <t>0701_VALORIE_1_P</t>
  </si>
  <si>
    <t>Valorização de Competências e qualificação profissional.</t>
  </si>
  <si>
    <t>Servizo Galego de Saúde. Xunta de Galicia</t>
  </si>
  <si>
    <t>Centro de Investigaciones Científicas y Tecnológicasde Extremadura- CICYTEX</t>
  </si>
  <si>
    <t>Câmara Municipal de Ponte de Lima</t>
  </si>
  <si>
    <t>CONVOCATORIA</t>
  </si>
  <si>
    <t>ÁREA COOPERACIÓN</t>
  </si>
  <si>
    <t>EJE PRIORITÁRIO</t>
  </si>
  <si>
    <t>ACRÓNIMO PROYECTO</t>
  </si>
  <si>
    <t>TÍTULO PROYECTO</t>
  </si>
  <si>
    <t>BENEFICIARIO</t>
  </si>
  <si>
    <t>BP/B</t>
  </si>
  <si>
    <t>FEDER</t>
  </si>
  <si>
    <t>PAÍS</t>
  </si>
  <si>
    <t>COSTE ELEGIBLE</t>
  </si>
  <si>
    <t>E</t>
  </si>
  <si>
    <t>P</t>
  </si>
  <si>
    <t>Acciones para la dinamización y potenciación de la actividad social, cultural y económica del medio rural transfronterizo</t>
  </si>
  <si>
    <t>COOPERACIÓN INTERSINDICAL TRANSFRONTERIZA ANDALUCÍA- ALGARVE 2008-2011</t>
  </si>
  <si>
    <t>COOPERACIÓN INTERSINDICAL TRANSFRONTERIZA ANDALUCÍA- ALGARVE 2008-2012</t>
  </si>
  <si>
    <t>Juventud Emprendedora. Fomento del Espíritu Emprendedor en la Frontera</t>
  </si>
  <si>
    <t>Dirección Xeral de Infraestruturas. Xunta de Galicia</t>
  </si>
  <si>
    <t>Administração da Região Hidrográfica do Algarve</t>
  </si>
  <si>
    <t>CIMAC - Comunidade Intermunicipal do Alentejo Central</t>
  </si>
  <si>
    <t>CONSEJERIA DE ECONOMIA Y HACIENDA (AN)</t>
  </si>
  <si>
    <t>AGENCIA DE INNOVACION Y DESARROLLO DE ANDALUCIA</t>
  </si>
  <si>
    <t xml:space="preserve">D.X. MONTES </t>
  </si>
  <si>
    <t>Comunidade Intermunicipal do Cávado</t>
  </si>
  <si>
    <t>Secretaría Xeral de Calidade e Avaliación Ambiental. Xunta de Galicia</t>
  </si>
  <si>
    <t>DG de Innovación y Competitividad Empresarial - Vicepresidencia Segunda y Consejería de Economía, Comercio e Innovación - Junta de Extremadura</t>
  </si>
  <si>
    <t>0319_PEGLA_1_4_P</t>
  </si>
  <si>
    <t>0319_PEGLA_2_4_P</t>
  </si>
  <si>
    <t>CONFEDERACIÓN HIDROGRAFICA DEL GUADIANA (MMA)</t>
  </si>
  <si>
    <t>0319_PEGLA_3_4_P</t>
  </si>
  <si>
    <t>0319_PEGLA_4_4_P</t>
  </si>
  <si>
    <t>1 - Alentejo-Algarve-Andalucía</t>
  </si>
  <si>
    <t>CATIM - Centro de Apoio Tecnológico á Indústria Matalomecânica</t>
  </si>
  <si>
    <t>Secretaria Xeral de Medio Rural e Montes. Consellería do Medio Rural e do Mar. Xunta de Galicia</t>
  </si>
  <si>
    <t>Instituto Español de Oceanografía</t>
  </si>
  <si>
    <t>Secretaría Xeral de Política Social. Xunta de Galicia</t>
  </si>
  <si>
    <t xml:space="preserve"> INIAV, I.P. - Instituto Nacional de Investigação Agrária e Veterinária, I.P. 
 INIAV, I.P. - Instituto Nacional de Investigação Agrária e Veterinária, I.P. 
</t>
  </si>
  <si>
    <t>Governo Civil de Castelo Branco</t>
  </si>
  <si>
    <t>ACDMoura - Associção para o Desenvolvimento do Concelho de Moura</t>
  </si>
  <si>
    <t>Dirección General de Ordenación Industrial y Política Energética. Consejería de Industria, Energía y Medio Ambiente. Junta de Extremadura</t>
  </si>
  <si>
    <t>Direcção Regional de Cultura do Algarve</t>
  </si>
  <si>
    <t>DIRECCION GENERAL DE BIENES CULTURALES (AN)</t>
  </si>
  <si>
    <t>TUASA- Terrenos Urbanizables de Ayamonte SA</t>
  </si>
  <si>
    <t>DG de Ciencia y Tecnología. Vicepresidencia Segunda y Consejería de Economía, Comercio e Innovación. Junta de Extremadura</t>
  </si>
  <si>
    <t>DREC - Direcção Regional de Educação do  Centro</t>
  </si>
  <si>
    <t>Diputación de Cáceres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</si>
</sst>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#,##0.00_ ;[Red]\-#,##0.00\ "/>
    <numFmt numFmtId="185" formatCode="0.0%"/>
    <numFmt numFmtId="186" formatCode="#,##0.0"/>
    <numFmt numFmtId="187" formatCode="0.0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7" tint="0.5999600291252136"/>
      </left>
      <right style="thin">
        <color theme="7" tint="0.5999600291252136"/>
      </right>
      <top style="thin">
        <color theme="7" tint="0.5999600291252136"/>
      </top>
      <bottom style="thin">
        <color theme="7" tint="0.5999600291252136"/>
      </bottom>
    </border>
    <border>
      <left style="thin">
        <color theme="7" tint="0.5999600291252136"/>
      </left>
      <right style="thin">
        <color theme="7" tint="0.5999600291252136"/>
      </right>
      <top style="thin">
        <color theme="7" tint="0.5999600291252136"/>
      </top>
      <bottom>
        <color indexed="63"/>
      </bottom>
    </border>
    <border>
      <left>
        <color indexed="63"/>
      </left>
      <right style="thin">
        <color theme="7" tint="0.5999600291252136"/>
      </right>
      <top style="thin">
        <color theme="7" tint="0.5999600291252136"/>
      </top>
      <bottom style="thin">
        <color theme="7" tint="0.5999600291252136"/>
      </bottom>
    </border>
    <border>
      <left>
        <color indexed="63"/>
      </left>
      <right style="thin">
        <color theme="7" tint="0.5999600291252136"/>
      </right>
      <top style="thin">
        <color theme="7" tint="0.5999600291252136"/>
      </top>
      <bottom>
        <color indexed="63"/>
      </bottom>
    </border>
    <border>
      <left style="thin">
        <color theme="7" tint="0.5999600291252136"/>
      </left>
      <right>
        <color indexed="63"/>
      </right>
      <top style="thin">
        <color theme="7" tint="0.5999600291252136"/>
      </top>
      <bottom style="thin">
        <color theme="7" tint="0.5999600291252136"/>
      </bottom>
    </border>
    <border>
      <left style="thin">
        <color theme="7" tint="0.5999600291252136"/>
      </left>
      <right>
        <color indexed="63"/>
      </right>
      <top style="thin">
        <color theme="7" tint="0.599960029125213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8" fillId="33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4" fontId="2" fillId="0" borderId="10" xfId="51" applyFont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left" wrapText="1"/>
    </xf>
    <xf numFmtId="4" fontId="8" fillId="33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9" fontId="6" fillId="34" borderId="11" xfId="0" applyNumberFormat="1" applyFont="1" applyFill="1" applyBorder="1" applyAlignment="1">
      <alignment horizontal="center" wrapText="1"/>
    </xf>
    <xf numFmtId="49" fontId="9" fillId="34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7" fillId="33" borderId="11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 wrapText="1"/>
    </xf>
    <xf numFmtId="0" fontId="8" fillId="33" borderId="11" xfId="0" applyNumberFormat="1" applyFont="1" applyFill="1" applyBorder="1" applyAlignment="1">
      <alignment horizontal="left" wrapText="1"/>
    </xf>
    <xf numFmtId="4" fontId="8" fillId="33" borderId="11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4" fontId="44" fillId="0" borderId="10" xfId="0" applyNumberFormat="1" applyFont="1" applyFill="1" applyBorder="1" applyAlignment="1">
      <alignment horizontal="right" wrapText="1"/>
    </xf>
    <xf numFmtId="0" fontId="44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4" fontId="44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8" fillId="33" borderId="14" xfId="0" applyNumberFormat="1" applyFont="1" applyFill="1" applyBorder="1" applyAlignment="1">
      <alignment horizontal="left" wrapText="1"/>
    </xf>
    <xf numFmtId="49" fontId="8" fillId="33" borderId="15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5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13.00390625" style="0" customWidth="1"/>
    <col min="2" max="2" width="8.57421875" style="0" customWidth="1"/>
    <col min="3" max="3" width="10.7109375" style="25" customWidth="1"/>
    <col min="4" max="4" width="22.421875" style="0" customWidth="1"/>
    <col min="5" max="5" width="29.00390625" style="0" customWidth="1"/>
    <col min="6" max="6" width="34.7109375" style="0" customWidth="1"/>
    <col min="7" max="7" width="6.28125" style="25" customWidth="1"/>
    <col min="8" max="8" width="6.7109375" style="37" customWidth="1"/>
    <col min="9" max="9" width="12.00390625" style="26" customWidth="1"/>
    <col min="10" max="10" width="11.7109375" style="26" customWidth="1"/>
  </cols>
  <sheetData>
    <row r="1" spans="1:10" ht="30" customHeight="1">
      <c r="A1" s="27" t="s">
        <v>974</v>
      </c>
      <c r="B1" s="27" t="s">
        <v>973</v>
      </c>
      <c r="C1" s="27" t="s">
        <v>975</v>
      </c>
      <c r="D1" s="27" t="s">
        <v>976</v>
      </c>
      <c r="E1" s="27" t="s">
        <v>977</v>
      </c>
      <c r="F1" s="27" t="s">
        <v>978</v>
      </c>
      <c r="G1" s="39" t="s">
        <v>981</v>
      </c>
      <c r="H1" s="40" t="s">
        <v>979</v>
      </c>
      <c r="I1" s="28" t="s">
        <v>982</v>
      </c>
      <c r="J1" s="28" t="s">
        <v>980</v>
      </c>
    </row>
    <row r="2" spans="1:10" ht="22.5">
      <c r="A2" s="3" t="s">
        <v>565</v>
      </c>
      <c r="B2" s="8">
        <v>1</v>
      </c>
      <c r="C2" s="8">
        <v>1</v>
      </c>
      <c r="D2" s="3" t="s">
        <v>174</v>
      </c>
      <c r="E2" s="14" t="s">
        <v>175</v>
      </c>
      <c r="F2" s="10" t="s">
        <v>707</v>
      </c>
      <c r="G2" s="2" t="s">
        <v>983</v>
      </c>
      <c r="H2" s="35" t="s">
        <v>330</v>
      </c>
      <c r="I2" s="29">
        <f>638000-207.42</f>
        <v>637792.58</v>
      </c>
      <c r="J2" s="30">
        <v>478344.43499999994</v>
      </c>
    </row>
    <row r="3" spans="1:10" ht="22.5">
      <c r="A3" s="19" t="s">
        <v>565</v>
      </c>
      <c r="B3" s="17">
        <v>1</v>
      </c>
      <c r="C3" s="15">
        <v>1</v>
      </c>
      <c r="D3" s="14" t="s">
        <v>174</v>
      </c>
      <c r="E3" s="14" t="s">
        <v>175</v>
      </c>
      <c r="F3" s="19" t="s">
        <v>176</v>
      </c>
      <c r="G3" s="2" t="s">
        <v>984</v>
      </c>
      <c r="H3" s="15" t="s">
        <v>423</v>
      </c>
      <c r="I3" s="16">
        <v>439300</v>
      </c>
      <c r="J3" s="16">
        <v>329475</v>
      </c>
    </row>
    <row r="4" spans="1:10" ht="22.5">
      <c r="A4" s="19" t="s">
        <v>565</v>
      </c>
      <c r="B4" s="17">
        <v>1</v>
      </c>
      <c r="C4" s="15">
        <v>1</v>
      </c>
      <c r="D4" s="14" t="s">
        <v>174</v>
      </c>
      <c r="E4" s="14" t="s">
        <v>175</v>
      </c>
      <c r="F4" s="19" t="s">
        <v>177</v>
      </c>
      <c r="G4" s="8" t="s">
        <v>983</v>
      </c>
      <c r="H4" s="15" t="s">
        <v>423</v>
      </c>
      <c r="I4" s="16">
        <v>412000</v>
      </c>
      <c r="J4" s="16">
        <v>309000</v>
      </c>
    </row>
    <row r="5" spans="1:10" ht="22.5">
      <c r="A5" s="19" t="s">
        <v>565</v>
      </c>
      <c r="B5" s="17">
        <v>1</v>
      </c>
      <c r="C5" s="15">
        <v>1</v>
      </c>
      <c r="D5" s="14" t="s">
        <v>174</v>
      </c>
      <c r="E5" s="14" t="s">
        <v>175</v>
      </c>
      <c r="F5" s="19" t="s">
        <v>178</v>
      </c>
      <c r="G5" s="2" t="s">
        <v>983</v>
      </c>
      <c r="H5" s="15" t="s">
        <v>423</v>
      </c>
      <c r="I5" s="16">
        <v>399000</v>
      </c>
      <c r="J5" s="16">
        <v>299250</v>
      </c>
    </row>
    <row r="6" spans="1:10" ht="22.5">
      <c r="A6" s="19" t="s">
        <v>565</v>
      </c>
      <c r="B6" s="17">
        <v>1</v>
      </c>
      <c r="C6" s="15">
        <v>1</v>
      </c>
      <c r="D6" s="14" t="s">
        <v>174</v>
      </c>
      <c r="E6" s="14" t="s">
        <v>175</v>
      </c>
      <c r="F6" s="19" t="s">
        <v>179</v>
      </c>
      <c r="G6" s="2" t="s">
        <v>983</v>
      </c>
      <c r="H6" s="15" t="s">
        <v>423</v>
      </c>
      <c r="I6" s="16">
        <v>392000</v>
      </c>
      <c r="J6" s="16">
        <v>294000</v>
      </c>
    </row>
    <row r="7" spans="1:10" ht="22.5">
      <c r="A7" s="24" t="s">
        <v>565</v>
      </c>
      <c r="B7" s="6">
        <v>1</v>
      </c>
      <c r="C7" s="6">
        <v>1</v>
      </c>
      <c r="D7" s="33" t="s">
        <v>174</v>
      </c>
      <c r="E7" s="24" t="s">
        <v>175</v>
      </c>
      <c r="F7" s="24"/>
      <c r="G7" s="6"/>
      <c r="H7" s="6"/>
      <c r="I7" s="34">
        <f>SUBTOTAL(9,I2:I6)</f>
        <v>2280092.58</v>
      </c>
      <c r="J7" s="34">
        <v>1710069.435</v>
      </c>
    </row>
    <row r="8" spans="1:10" ht="33.75">
      <c r="A8" s="3" t="s">
        <v>563</v>
      </c>
      <c r="B8" s="8">
        <v>1</v>
      </c>
      <c r="C8" s="8">
        <v>1</v>
      </c>
      <c r="D8" s="3" t="s">
        <v>116</v>
      </c>
      <c r="E8" s="14" t="s">
        <v>117</v>
      </c>
      <c r="F8" s="5" t="s">
        <v>118</v>
      </c>
      <c r="G8" s="2" t="s">
        <v>983</v>
      </c>
      <c r="H8" s="35" t="s">
        <v>330</v>
      </c>
      <c r="I8" s="29">
        <v>898100</v>
      </c>
      <c r="J8" s="30">
        <v>673575</v>
      </c>
    </row>
    <row r="9" spans="1:10" ht="33.75">
      <c r="A9" s="3" t="s">
        <v>563</v>
      </c>
      <c r="B9" s="8">
        <v>1</v>
      </c>
      <c r="C9" s="8">
        <v>1</v>
      </c>
      <c r="D9" s="3" t="s">
        <v>116</v>
      </c>
      <c r="E9" s="14" t="s">
        <v>117</v>
      </c>
      <c r="F9" s="1" t="s">
        <v>518</v>
      </c>
      <c r="G9" s="2" t="s">
        <v>984</v>
      </c>
      <c r="H9" s="35" t="s">
        <v>423</v>
      </c>
      <c r="I9" s="29">
        <v>295000</v>
      </c>
      <c r="J9" s="30">
        <v>221250</v>
      </c>
    </row>
    <row r="10" spans="1:10" ht="33.75">
      <c r="A10" s="24" t="s">
        <v>563</v>
      </c>
      <c r="B10" s="6">
        <v>1</v>
      </c>
      <c r="C10" s="6">
        <v>1</v>
      </c>
      <c r="D10" s="33" t="s">
        <v>116</v>
      </c>
      <c r="E10" s="24" t="s">
        <v>117</v>
      </c>
      <c r="F10" s="24"/>
      <c r="G10" s="6"/>
      <c r="H10" s="6"/>
      <c r="I10" s="34">
        <f>SUBTOTAL(9,I8:I9)</f>
        <v>1193100</v>
      </c>
      <c r="J10" s="34">
        <v>894825</v>
      </c>
    </row>
    <row r="11" spans="1:10" ht="22.5">
      <c r="A11" s="1" t="s">
        <v>807</v>
      </c>
      <c r="B11" s="8">
        <v>1</v>
      </c>
      <c r="C11" s="2">
        <v>1</v>
      </c>
      <c r="D11" s="3" t="s">
        <v>204</v>
      </c>
      <c r="E11" s="1" t="s">
        <v>205</v>
      </c>
      <c r="F11" s="4" t="s">
        <v>260</v>
      </c>
      <c r="G11" s="8" t="s">
        <v>983</v>
      </c>
      <c r="H11" s="35" t="s">
        <v>330</v>
      </c>
      <c r="I11" s="31">
        <f>1066666.67+76243.26</f>
        <v>1142909.93</v>
      </c>
      <c r="J11" s="30">
        <v>857182.4475</v>
      </c>
    </row>
    <row r="12" spans="1:10" ht="22.5">
      <c r="A12" s="3" t="s">
        <v>807</v>
      </c>
      <c r="B12" s="8">
        <v>1</v>
      </c>
      <c r="C12" s="8">
        <v>1</v>
      </c>
      <c r="D12" s="3" t="s">
        <v>204</v>
      </c>
      <c r="E12" s="1" t="s">
        <v>205</v>
      </c>
      <c r="F12" s="1" t="s">
        <v>534</v>
      </c>
      <c r="G12" s="8" t="s">
        <v>984</v>
      </c>
      <c r="H12" s="36" t="s">
        <v>423</v>
      </c>
      <c r="I12" s="31">
        <f>333333.33+34115.87</f>
        <v>367449.2</v>
      </c>
      <c r="J12" s="30">
        <v>275586.9</v>
      </c>
    </row>
    <row r="13" spans="1:10" ht="22.5">
      <c r="A13" s="24" t="s">
        <v>807</v>
      </c>
      <c r="B13" s="6">
        <v>1</v>
      </c>
      <c r="C13" s="6">
        <v>1</v>
      </c>
      <c r="D13" s="33" t="s">
        <v>204</v>
      </c>
      <c r="E13" s="24" t="s">
        <v>205</v>
      </c>
      <c r="F13" s="24"/>
      <c r="G13" s="6"/>
      <c r="H13" s="6"/>
      <c r="I13" s="34">
        <f>SUBTOTAL(9,I11:I12)</f>
        <v>1510359.13</v>
      </c>
      <c r="J13" s="34">
        <v>1132769.3475000001</v>
      </c>
    </row>
    <row r="14" spans="1:10" ht="33.75">
      <c r="A14" s="3" t="s">
        <v>807</v>
      </c>
      <c r="B14" s="8">
        <v>1</v>
      </c>
      <c r="C14" s="8">
        <v>1</v>
      </c>
      <c r="D14" s="3" t="s">
        <v>206</v>
      </c>
      <c r="E14" s="1" t="s">
        <v>207</v>
      </c>
      <c r="F14" s="3" t="s">
        <v>208</v>
      </c>
      <c r="G14" s="8" t="s">
        <v>983</v>
      </c>
      <c r="H14" s="35" t="s">
        <v>423</v>
      </c>
      <c r="I14" s="29">
        <v>186650</v>
      </c>
      <c r="J14" s="30">
        <v>139987.5</v>
      </c>
    </row>
    <row r="15" spans="1:10" ht="33.75">
      <c r="A15" s="3" t="s">
        <v>807</v>
      </c>
      <c r="B15" s="8">
        <v>1</v>
      </c>
      <c r="C15" s="8">
        <v>1</v>
      </c>
      <c r="D15" s="3" t="s">
        <v>206</v>
      </c>
      <c r="E15" s="1" t="s">
        <v>207</v>
      </c>
      <c r="F15" s="5" t="s">
        <v>209</v>
      </c>
      <c r="G15" s="8" t="s">
        <v>983</v>
      </c>
      <c r="H15" s="35" t="s">
        <v>330</v>
      </c>
      <c r="I15" s="29">
        <v>999000</v>
      </c>
      <c r="J15" s="30">
        <v>749250</v>
      </c>
    </row>
    <row r="16" spans="1:10" ht="33.75">
      <c r="A16" s="3" t="s">
        <v>807</v>
      </c>
      <c r="B16" s="8">
        <v>1</v>
      </c>
      <c r="C16" s="8">
        <v>1</v>
      </c>
      <c r="D16" s="3" t="s">
        <v>206</v>
      </c>
      <c r="E16" s="1" t="s">
        <v>207</v>
      </c>
      <c r="F16" s="1" t="s">
        <v>350</v>
      </c>
      <c r="G16" s="8" t="s">
        <v>984</v>
      </c>
      <c r="H16" s="35" t="s">
        <v>423</v>
      </c>
      <c r="I16" s="29">
        <v>100000</v>
      </c>
      <c r="J16" s="30">
        <v>75000</v>
      </c>
    </row>
    <row r="17" spans="1:10" ht="33.75">
      <c r="A17" s="3" t="s">
        <v>807</v>
      </c>
      <c r="B17" s="8">
        <v>1</v>
      </c>
      <c r="C17" s="8">
        <v>1</v>
      </c>
      <c r="D17" s="3" t="s">
        <v>206</v>
      </c>
      <c r="E17" s="1" t="s">
        <v>207</v>
      </c>
      <c r="F17" s="1" t="s">
        <v>574</v>
      </c>
      <c r="G17" s="2" t="s">
        <v>984</v>
      </c>
      <c r="H17" s="35" t="s">
        <v>423</v>
      </c>
      <c r="I17" s="29">
        <v>103000</v>
      </c>
      <c r="J17" s="30">
        <v>77250</v>
      </c>
    </row>
    <row r="18" spans="1:10" ht="33.75">
      <c r="A18" s="3" t="s">
        <v>807</v>
      </c>
      <c r="B18" s="8">
        <v>1</v>
      </c>
      <c r="C18" s="8">
        <v>1</v>
      </c>
      <c r="D18" s="3" t="s">
        <v>206</v>
      </c>
      <c r="E18" s="1" t="s">
        <v>207</v>
      </c>
      <c r="F18" s="1" t="s">
        <v>721</v>
      </c>
      <c r="G18" s="8" t="s">
        <v>984</v>
      </c>
      <c r="H18" s="35" t="s">
        <v>423</v>
      </c>
      <c r="I18" s="29">
        <v>220000</v>
      </c>
      <c r="J18" s="30">
        <v>165000</v>
      </c>
    </row>
    <row r="19" spans="1:10" ht="33.75">
      <c r="A19" s="24" t="s">
        <v>807</v>
      </c>
      <c r="B19" s="6">
        <v>1</v>
      </c>
      <c r="C19" s="6">
        <v>1</v>
      </c>
      <c r="D19" s="33" t="s">
        <v>206</v>
      </c>
      <c r="E19" s="24" t="s">
        <v>207</v>
      </c>
      <c r="F19" s="24"/>
      <c r="G19" s="6"/>
      <c r="H19" s="6"/>
      <c r="I19" s="34">
        <f>SUBTOTAL(9,I14:I18)</f>
        <v>1608650</v>
      </c>
      <c r="J19" s="34">
        <v>1206487.5</v>
      </c>
    </row>
    <row r="20" spans="1:10" ht="22.5">
      <c r="A20" s="3" t="s">
        <v>565</v>
      </c>
      <c r="B20" s="8">
        <v>1</v>
      </c>
      <c r="C20" s="8">
        <v>2</v>
      </c>
      <c r="D20" s="3" t="s">
        <v>186</v>
      </c>
      <c r="E20" s="14" t="s">
        <v>187</v>
      </c>
      <c r="F20" s="12" t="s">
        <v>400</v>
      </c>
      <c r="G20" s="8" t="s">
        <v>984</v>
      </c>
      <c r="H20" s="35" t="s">
        <v>423</v>
      </c>
      <c r="I20" s="29">
        <v>293333.33</v>
      </c>
      <c r="J20" s="30">
        <v>219999.9975</v>
      </c>
    </row>
    <row r="21" spans="1:10" ht="22.5">
      <c r="A21" s="3" t="s">
        <v>565</v>
      </c>
      <c r="B21" s="8">
        <v>1</v>
      </c>
      <c r="C21" s="8">
        <v>2</v>
      </c>
      <c r="D21" s="3" t="s">
        <v>186</v>
      </c>
      <c r="E21" s="14" t="s">
        <v>187</v>
      </c>
      <c r="F21" s="11" t="s">
        <v>398</v>
      </c>
      <c r="G21" s="2" t="s">
        <v>983</v>
      </c>
      <c r="H21" s="35" t="s">
        <v>423</v>
      </c>
      <c r="I21" s="29">
        <v>193500</v>
      </c>
      <c r="J21" s="30">
        <v>145125</v>
      </c>
    </row>
    <row r="22" spans="1:10" ht="22.5">
      <c r="A22" s="3" t="s">
        <v>565</v>
      </c>
      <c r="B22" s="8">
        <v>1</v>
      </c>
      <c r="C22" s="8">
        <v>2</v>
      </c>
      <c r="D22" s="3" t="s">
        <v>186</v>
      </c>
      <c r="E22" s="14" t="s">
        <v>187</v>
      </c>
      <c r="F22" s="12" t="s">
        <v>188</v>
      </c>
      <c r="G22" s="2" t="s">
        <v>983</v>
      </c>
      <c r="H22" s="35" t="s">
        <v>423</v>
      </c>
      <c r="I22" s="29">
        <v>300000</v>
      </c>
      <c r="J22" s="30">
        <v>225000</v>
      </c>
    </row>
    <row r="23" spans="1:10" ht="22.5">
      <c r="A23" s="3" t="s">
        <v>565</v>
      </c>
      <c r="B23" s="8">
        <v>1</v>
      </c>
      <c r="C23" s="8">
        <v>2</v>
      </c>
      <c r="D23" s="3" t="s">
        <v>186</v>
      </c>
      <c r="E23" s="14" t="s">
        <v>187</v>
      </c>
      <c r="F23" s="10" t="s">
        <v>414</v>
      </c>
      <c r="G23" s="8" t="s">
        <v>984</v>
      </c>
      <c r="H23" s="35" t="s">
        <v>330</v>
      </c>
      <c r="I23" s="29">
        <v>488560</v>
      </c>
      <c r="J23" s="30">
        <v>366420</v>
      </c>
    </row>
    <row r="24" spans="1:10" ht="22.5">
      <c r="A24" s="24" t="s">
        <v>565</v>
      </c>
      <c r="B24" s="6">
        <v>1</v>
      </c>
      <c r="C24" s="6">
        <v>2</v>
      </c>
      <c r="D24" s="33" t="s">
        <v>186</v>
      </c>
      <c r="E24" s="24" t="s">
        <v>187</v>
      </c>
      <c r="F24" s="24"/>
      <c r="G24" s="6"/>
      <c r="H24" s="6"/>
      <c r="I24" s="34">
        <f>SUBTOTAL(9,I20:I23)</f>
        <v>1275393.33</v>
      </c>
      <c r="J24" s="34">
        <v>956544.9975</v>
      </c>
    </row>
    <row r="25" spans="1:10" ht="22.5">
      <c r="A25" s="3" t="s">
        <v>807</v>
      </c>
      <c r="B25" s="8">
        <v>1</v>
      </c>
      <c r="C25" s="8">
        <v>3</v>
      </c>
      <c r="D25" s="3" t="s">
        <v>46</v>
      </c>
      <c r="E25" s="14" t="s">
        <v>47</v>
      </c>
      <c r="F25" s="5" t="s">
        <v>989</v>
      </c>
      <c r="G25" s="2" t="s">
        <v>983</v>
      </c>
      <c r="H25" s="35" t="s">
        <v>330</v>
      </c>
      <c r="I25" s="29">
        <f>931326.49+696351.18</f>
        <v>1627677.67</v>
      </c>
      <c r="J25" s="30">
        <v>1220758.2525</v>
      </c>
    </row>
    <row r="26" spans="1:10" ht="22.5">
      <c r="A26" s="3" t="s">
        <v>807</v>
      </c>
      <c r="B26" s="8">
        <v>1</v>
      </c>
      <c r="C26" s="8">
        <v>3</v>
      </c>
      <c r="D26" s="3" t="s">
        <v>46</v>
      </c>
      <c r="E26" s="14" t="s">
        <v>47</v>
      </c>
      <c r="F26" s="1" t="s">
        <v>776</v>
      </c>
      <c r="G26" s="2" t="s">
        <v>984</v>
      </c>
      <c r="H26" s="35" t="s">
        <v>423</v>
      </c>
      <c r="I26" s="29">
        <v>185743.33</v>
      </c>
      <c r="J26" s="30">
        <v>139307.4975</v>
      </c>
    </row>
    <row r="27" spans="1:10" ht="22.5">
      <c r="A27" s="3" t="s">
        <v>807</v>
      </c>
      <c r="B27" s="8">
        <v>1</v>
      </c>
      <c r="C27" s="8">
        <v>3</v>
      </c>
      <c r="D27" s="3" t="s">
        <v>46</v>
      </c>
      <c r="E27" s="14" t="s">
        <v>47</v>
      </c>
      <c r="F27" s="1" t="s">
        <v>701</v>
      </c>
      <c r="G27" s="2" t="s">
        <v>984</v>
      </c>
      <c r="H27" s="35" t="s">
        <v>423</v>
      </c>
      <c r="I27" s="29">
        <v>215355.51</v>
      </c>
      <c r="J27" s="30">
        <v>161516.6325</v>
      </c>
    </row>
    <row r="28" spans="1:10" ht="22.5">
      <c r="A28" s="3" t="s">
        <v>807</v>
      </c>
      <c r="B28" s="8">
        <v>1</v>
      </c>
      <c r="C28" s="8">
        <v>3</v>
      </c>
      <c r="D28" s="3" t="s">
        <v>46</v>
      </c>
      <c r="E28" s="14" t="s">
        <v>47</v>
      </c>
      <c r="F28" s="1" t="s">
        <v>775</v>
      </c>
      <c r="G28" s="2" t="s">
        <v>984</v>
      </c>
      <c r="H28" s="35" t="s">
        <v>423</v>
      </c>
      <c r="I28" s="29">
        <v>257976</v>
      </c>
      <c r="J28" s="30">
        <v>193482</v>
      </c>
    </row>
    <row r="29" spans="1:10" ht="22.5">
      <c r="A29" s="3" t="s">
        <v>807</v>
      </c>
      <c r="B29" s="8">
        <v>1</v>
      </c>
      <c r="C29" s="8">
        <v>3</v>
      </c>
      <c r="D29" s="3" t="s">
        <v>46</v>
      </c>
      <c r="E29" s="14" t="s">
        <v>47</v>
      </c>
      <c r="F29" s="1" t="s">
        <v>728</v>
      </c>
      <c r="G29" s="2" t="s">
        <v>984</v>
      </c>
      <c r="H29" s="35" t="s">
        <v>423</v>
      </c>
      <c r="I29" s="29">
        <v>186413.33</v>
      </c>
      <c r="J29" s="30">
        <v>139809.9975</v>
      </c>
    </row>
    <row r="30" spans="1:10" ht="22.5">
      <c r="A30" s="3" t="s">
        <v>807</v>
      </c>
      <c r="B30" s="8">
        <v>1</v>
      </c>
      <c r="C30" s="8">
        <v>3</v>
      </c>
      <c r="D30" s="3" t="s">
        <v>46</v>
      </c>
      <c r="E30" s="14" t="s">
        <v>47</v>
      </c>
      <c r="F30" s="1" t="s">
        <v>393</v>
      </c>
      <c r="G30" s="2" t="s">
        <v>984</v>
      </c>
      <c r="H30" s="35" t="s">
        <v>423</v>
      </c>
      <c r="I30" s="29">
        <v>184269.33</v>
      </c>
      <c r="J30" s="30">
        <v>138201.9975</v>
      </c>
    </row>
    <row r="31" spans="1:10" ht="22.5">
      <c r="A31" s="24" t="s">
        <v>807</v>
      </c>
      <c r="B31" s="6">
        <v>1</v>
      </c>
      <c r="C31" s="6">
        <v>3</v>
      </c>
      <c r="D31" s="33" t="s">
        <v>46</v>
      </c>
      <c r="E31" s="24" t="s">
        <v>47</v>
      </c>
      <c r="F31" s="24"/>
      <c r="G31" s="6"/>
      <c r="H31" s="6"/>
      <c r="I31" s="34">
        <f>SUBTOTAL(9,I25:I30)</f>
        <v>2657435.17</v>
      </c>
      <c r="J31" s="34">
        <v>1993076.3775000002</v>
      </c>
    </row>
    <row r="32" spans="1:10" ht="22.5">
      <c r="A32" s="3" t="s">
        <v>807</v>
      </c>
      <c r="B32" s="8">
        <v>1</v>
      </c>
      <c r="C32" s="8">
        <v>3</v>
      </c>
      <c r="D32" s="3" t="s">
        <v>48</v>
      </c>
      <c r="E32" s="14" t="s">
        <v>49</v>
      </c>
      <c r="F32" s="3" t="s">
        <v>615</v>
      </c>
      <c r="G32" s="2" t="s">
        <v>983</v>
      </c>
      <c r="H32" s="35" t="s">
        <v>423</v>
      </c>
      <c r="I32" s="29">
        <v>134400</v>
      </c>
      <c r="J32" s="30">
        <v>100800</v>
      </c>
    </row>
    <row r="33" spans="1:10" ht="22.5">
      <c r="A33" s="3" t="s">
        <v>807</v>
      </c>
      <c r="B33" s="8">
        <v>1</v>
      </c>
      <c r="C33" s="8">
        <v>3</v>
      </c>
      <c r="D33" s="3" t="s">
        <v>48</v>
      </c>
      <c r="E33" s="14" t="s">
        <v>49</v>
      </c>
      <c r="F33" s="3" t="s">
        <v>50</v>
      </c>
      <c r="G33" s="2" t="s">
        <v>983</v>
      </c>
      <c r="H33" s="35" t="s">
        <v>423</v>
      </c>
      <c r="I33" s="29">
        <v>103000</v>
      </c>
      <c r="J33" s="30">
        <v>77250</v>
      </c>
    </row>
    <row r="34" spans="1:10" ht="22.5">
      <c r="A34" s="3" t="s">
        <v>807</v>
      </c>
      <c r="B34" s="8">
        <v>1</v>
      </c>
      <c r="C34" s="8">
        <v>3</v>
      </c>
      <c r="D34" s="3" t="s">
        <v>48</v>
      </c>
      <c r="E34" s="14" t="s">
        <v>49</v>
      </c>
      <c r="F34" s="3" t="s">
        <v>51</v>
      </c>
      <c r="G34" s="2" t="s">
        <v>983</v>
      </c>
      <c r="H34" s="35" t="s">
        <v>423</v>
      </c>
      <c r="I34" s="29">
        <v>100649.33</v>
      </c>
      <c r="J34" s="30">
        <v>75486.9975</v>
      </c>
    </row>
    <row r="35" spans="1:10" ht="22.5">
      <c r="A35" s="3" t="s">
        <v>807</v>
      </c>
      <c r="B35" s="8">
        <v>1</v>
      </c>
      <c r="C35" s="8">
        <v>3</v>
      </c>
      <c r="D35" s="3" t="s">
        <v>48</v>
      </c>
      <c r="E35" s="14" t="s">
        <v>49</v>
      </c>
      <c r="F35" s="3" t="s">
        <v>803</v>
      </c>
      <c r="G35" s="2" t="s">
        <v>983</v>
      </c>
      <c r="H35" s="35" t="s">
        <v>423</v>
      </c>
      <c r="I35" s="29">
        <v>136500</v>
      </c>
      <c r="J35" s="30">
        <v>102375</v>
      </c>
    </row>
    <row r="36" spans="1:10" ht="22.5">
      <c r="A36" s="3" t="s">
        <v>807</v>
      </c>
      <c r="B36" s="8">
        <v>1</v>
      </c>
      <c r="C36" s="8">
        <v>3</v>
      </c>
      <c r="D36" s="3" t="s">
        <v>48</v>
      </c>
      <c r="E36" s="14" t="s">
        <v>49</v>
      </c>
      <c r="F36" s="1" t="s">
        <v>263</v>
      </c>
      <c r="G36" s="2" t="s">
        <v>984</v>
      </c>
      <c r="H36" s="35" t="s">
        <v>423</v>
      </c>
      <c r="I36" s="29">
        <v>103000</v>
      </c>
      <c r="J36" s="30">
        <v>77250</v>
      </c>
    </row>
    <row r="37" spans="1:10" ht="22.5">
      <c r="A37" s="3" t="s">
        <v>807</v>
      </c>
      <c r="B37" s="8">
        <v>1</v>
      </c>
      <c r="C37" s="8">
        <v>3</v>
      </c>
      <c r="D37" s="3" t="s">
        <v>48</v>
      </c>
      <c r="E37" s="14" t="s">
        <v>49</v>
      </c>
      <c r="F37" s="1" t="s">
        <v>298</v>
      </c>
      <c r="G37" s="2" t="s">
        <v>984</v>
      </c>
      <c r="H37" s="35" t="s">
        <v>423</v>
      </c>
      <c r="I37" s="29">
        <v>100000</v>
      </c>
      <c r="J37" s="30">
        <v>75000</v>
      </c>
    </row>
    <row r="38" spans="1:10" ht="22.5">
      <c r="A38" s="3" t="s">
        <v>807</v>
      </c>
      <c r="B38" s="8">
        <v>1</v>
      </c>
      <c r="C38" s="8">
        <v>3</v>
      </c>
      <c r="D38" s="3" t="s">
        <v>48</v>
      </c>
      <c r="E38" s="14" t="s">
        <v>49</v>
      </c>
      <c r="F38" s="5" t="s">
        <v>628</v>
      </c>
      <c r="G38" s="8" t="s">
        <v>983</v>
      </c>
      <c r="H38" s="35" t="s">
        <v>330</v>
      </c>
      <c r="I38" s="29">
        <v>450000</v>
      </c>
      <c r="J38" s="30">
        <v>337500</v>
      </c>
    </row>
    <row r="39" spans="1:10" ht="22.5">
      <c r="A39" s="3" t="s">
        <v>807</v>
      </c>
      <c r="B39" s="8">
        <v>1</v>
      </c>
      <c r="C39" s="8">
        <v>3</v>
      </c>
      <c r="D39" s="3" t="s">
        <v>48</v>
      </c>
      <c r="E39" s="14" t="s">
        <v>49</v>
      </c>
      <c r="F39" s="1" t="s">
        <v>574</v>
      </c>
      <c r="G39" s="2" t="s">
        <v>984</v>
      </c>
      <c r="H39" s="35" t="s">
        <v>423</v>
      </c>
      <c r="I39" s="29">
        <v>111000</v>
      </c>
      <c r="J39" s="30">
        <v>83250</v>
      </c>
    </row>
    <row r="40" spans="1:10" ht="22.5">
      <c r="A40" s="24" t="s">
        <v>807</v>
      </c>
      <c r="B40" s="6">
        <v>1</v>
      </c>
      <c r="C40" s="6">
        <v>3</v>
      </c>
      <c r="D40" s="33" t="s">
        <v>48</v>
      </c>
      <c r="E40" s="24" t="s">
        <v>49</v>
      </c>
      <c r="F40" s="24"/>
      <c r="G40" s="6"/>
      <c r="H40" s="6"/>
      <c r="I40" s="34">
        <f>SUBTOTAL(9,I32:I39)</f>
        <v>1238549.33</v>
      </c>
      <c r="J40" s="34">
        <v>928911.9975</v>
      </c>
    </row>
    <row r="41" spans="1:10" ht="33.75">
      <c r="A41" s="3" t="s">
        <v>561</v>
      </c>
      <c r="B41" s="8">
        <v>1</v>
      </c>
      <c r="C41" s="8">
        <v>2</v>
      </c>
      <c r="D41" s="3" t="s">
        <v>69</v>
      </c>
      <c r="E41" s="14" t="s">
        <v>70</v>
      </c>
      <c r="F41" s="3" t="s">
        <v>768</v>
      </c>
      <c r="G41" s="2" t="s">
        <v>983</v>
      </c>
      <c r="H41" s="36" t="s">
        <v>423</v>
      </c>
      <c r="I41" s="31">
        <f>279570-279570</f>
        <v>0</v>
      </c>
      <c r="J41" s="30">
        <v>0</v>
      </c>
    </row>
    <row r="42" spans="1:10" ht="33.75">
      <c r="A42" s="3" t="s">
        <v>561</v>
      </c>
      <c r="B42" s="8">
        <v>1</v>
      </c>
      <c r="C42" s="8">
        <v>2</v>
      </c>
      <c r="D42" s="3" t="s">
        <v>69</v>
      </c>
      <c r="E42" s="14" t="s">
        <v>70</v>
      </c>
      <c r="F42" s="4" t="s">
        <v>295</v>
      </c>
      <c r="G42" s="2" t="s">
        <v>983</v>
      </c>
      <c r="H42" s="35" t="s">
        <v>330</v>
      </c>
      <c r="I42" s="31">
        <v>479939.2</v>
      </c>
      <c r="J42" s="30">
        <v>359954.4</v>
      </c>
    </row>
    <row r="43" spans="1:10" ht="33.75">
      <c r="A43" s="3" t="s">
        <v>561</v>
      </c>
      <c r="B43" s="8">
        <v>1</v>
      </c>
      <c r="C43" s="8">
        <v>2</v>
      </c>
      <c r="D43" s="3" t="s">
        <v>69</v>
      </c>
      <c r="E43" s="14" t="s">
        <v>70</v>
      </c>
      <c r="F43" s="1" t="s">
        <v>594</v>
      </c>
      <c r="G43" s="32" t="s">
        <v>984</v>
      </c>
      <c r="H43" s="36" t="s">
        <v>423</v>
      </c>
      <c r="I43" s="31">
        <v>200000</v>
      </c>
      <c r="J43" s="30">
        <v>150000</v>
      </c>
    </row>
    <row r="44" spans="1:10" ht="33.75">
      <c r="A44" s="3" t="s">
        <v>561</v>
      </c>
      <c r="B44" s="8">
        <v>1</v>
      </c>
      <c r="C44" s="8">
        <v>2</v>
      </c>
      <c r="D44" s="3" t="s">
        <v>69</v>
      </c>
      <c r="E44" s="14" t="s">
        <v>70</v>
      </c>
      <c r="F44" s="1" t="s">
        <v>410</v>
      </c>
      <c r="G44" s="2" t="s">
        <v>984</v>
      </c>
      <c r="H44" s="36" t="s">
        <v>423</v>
      </c>
      <c r="I44" s="31">
        <v>162000</v>
      </c>
      <c r="J44" s="30">
        <v>121500</v>
      </c>
    </row>
    <row r="45" spans="1:10" ht="33.75">
      <c r="A45" s="3" t="s">
        <v>561</v>
      </c>
      <c r="B45" s="8">
        <v>1</v>
      </c>
      <c r="C45" s="8">
        <v>2</v>
      </c>
      <c r="D45" s="3" t="s">
        <v>69</v>
      </c>
      <c r="E45" s="14" t="s">
        <v>70</v>
      </c>
      <c r="F45" s="3" t="s">
        <v>858</v>
      </c>
      <c r="G45" s="2" t="s">
        <v>983</v>
      </c>
      <c r="H45" s="36" t="s">
        <v>423</v>
      </c>
      <c r="I45" s="31">
        <v>279793.8</v>
      </c>
      <c r="J45" s="30">
        <v>209845.34999999998</v>
      </c>
    </row>
    <row r="46" spans="1:10" ht="33.75">
      <c r="A46" s="24" t="s">
        <v>561</v>
      </c>
      <c r="B46" s="6">
        <v>1</v>
      </c>
      <c r="C46" s="6">
        <v>2</v>
      </c>
      <c r="D46" s="33" t="s">
        <v>69</v>
      </c>
      <c r="E46" s="24" t="s">
        <v>70</v>
      </c>
      <c r="F46" s="24"/>
      <c r="G46" s="6"/>
      <c r="H46" s="6"/>
      <c r="I46" s="34">
        <f>SUBTOTAL(9,I41:I45)</f>
        <v>1121733</v>
      </c>
      <c r="J46" s="34">
        <v>841299.75</v>
      </c>
    </row>
    <row r="47" spans="1:10" ht="33.75">
      <c r="A47" s="3" t="s">
        <v>563</v>
      </c>
      <c r="B47" s="8">
        <v>1</v>
      </c>
      <c r="C47" s="8">
        <v>1</v>
      </c>
      <c r="D47" s="3" t="s">
        <v>119</v>
      </c>
      <c r="E47" s="14" t="s">
        <v>120</v>
      </c>
      <c r="F47" s="4" t="s">
        <v>827</v>
      </c>
      <c r="G47" s="8" t="s">
        <v>983</v>
      </c>
      <c r="H47" s="35" t="s">
        <v>330</v>
      </c>
      <c r="I47" s="31">
        <v>400000</v>
      </c>
      <c r="J47" s="30">
        <v>300000</v>
      </c>
    </row>
    <row r="48" spans="1:10" ht="33.75">
      <c r="A48" s="3" t="s">
        <v>563</v>
      </c>
      <c r="B48" s="8">
        <v>1</v>
      </c>
      <c r="C48" s="8">
        <v>1</v>
      </c>
      <c r="D48" s="3" t="s">
        <v>119</v>
      </c>
      <c r="E48" s="14" t="s">
        <v>120</v>
      </c>
      <c r="F48" s="1" t="s">
        <v>820</v>
      </c>
      <c r="G48" s="2" t="s">
        <v>984</v>
      </c>
      <c r="H48" s="36" t="s">
        <v>423</v>
      </c>
      <c r="I48" s="31">
        <v>100000</v>
      </c>
      <c r="J48" s="30">
        <v>75000</v>
      </c>
    </row>
    <row r="49" spans="1:10" ht="33.75">
      <c r="A49" s="24" t="s">
        <v>563</v>
      </c>
      <c r="B49" s="6">
        <v>1</v>
      </c>
      <c r="C49" s="6">
        <v>1</v>
      </c>
      <c r="D49" s="33" t="s">
        <v>119</v>
      </c>
      <c r="E49" s="24" t="s">
        <v>120</v>
      </c>
      <c r="F49" s="24"/>
      <c r="G49" s="6"/>
      <c r="H49" s="6"/>
      <c r="I49" s="34">
        <f>SUBTOTAL(9,I47:I48)</f>
        <v>500000</v>
      </c>
      <c r="J49" s="34">
        <v>375000</v>
      </c>
    </row>
    <row r="50" spans="1:10" ht="33.75">
      <c r="A50" s="3" t="s">
        <v>564</v>
      </c>
      <c r="B50" s="8">
        <v>1</v>
      </c>
      <c r="C50" s="8">
        <v>4</v>
      </c>
      <c r="D50" s="3" t="s">
        <v>165</v>
      </c>
      <c r="E50" s="14" t="s">
        <v>166</v>
      </c>
      <c r="F50" s="10" t="s">
        <v>542</v>
      </c>
      <c r="G50" s="2" t="s">
        <v>983</v>
      </c>
      <c r="H50" s="35" t="s">
        <v>330</v>
      </c>
      <c r="I50" s="29">
        <v>530000</v>
      </c>
      <c r="J50" s="30">
        <v>397500</v>
      </c>
    </row>
    <row r="51" spans="1:10" ht="33.75">
      <c r="A51" s="3" t="s">
        <v>564</v>
      </c>
      <c r="B51" s="8">
        <v>1</v>
      </c>
      <c r="C51" s="8">
        <v>4</v>
      </c>
      <c r="D51" s="3" t="s">
        <v>165</v>
      </c>
      <c r="E51" s="14" t="s">
        <v>166</v>
      </c>
      <c r="F51" s="12" t="s">
        <v>514</v>
      </c>
      <c r="G51" s="2" t="s">
        <v>984</v>
      </c>
      <c r="H51" s="35" t="s">
        <v>423</v>
      </c>
      <c r="I51" s="29">
        <v>100000</v>
      </c>
      <c r="J51" s="30">
        <v>75000</v>
      </c>
    </row>
    <row r="52" spans="1:10" ht="33.75">
      <c r="A52" s="3" t="s">
        <v>564</v>
      </c>
      <c r="B52" s="8">
        <v>1</v>
      </c>
      <c r="C52" s="8">
        <v>4</v>
      </c>
      <c r="D52" s="3" t="s">
        <v>165</v>
      </c>
      <c r="E52" s="14" t="s">
        <v>166</v>
      </c>
      <c r="F52" s="12" t="s">
        <v>714</v>
      </c>
      <c r="G52" s="2" t="s">
        <v>984</v>
      </c>
      <c r="H52" s="35" t="s">
        <v>423</v>
      </c>
      <c r="I52" s="29">
        <v>200000</v>
      </c>
      <c r="J52" s="30">
        <v>150000</v>
      </c>
    </row>
    <row r="53" spans="1:10" ht="33.75">
      <c r="A53" s="24" t="s">
        <v>564</v>
      </c>
      <c r="B53" s="6">
        <v>1</v>
      </c>
      <c r="C53" s="6">
        <v>4</v>
      </c>
      <c r="D53" s="33" t="s">
        <v>165</v>
      </c>
      <c r="E53" s="24" t="s">
        <v>166</v>
      </c>
      <c r="F53" s="24"/>
      <c r="G53" s="6"/>
      <c r="H53" s="6"/>
      <c r="I53" s="34">
        <f>SUBTOTAL(9,I50:I52)</f>
        <v>830000</v>
      </c>
      <c r="J53" s="34">
        <v>622500</v>
      </c>
    </row>
    <row r="54" spans="1:10" ht="33.75">
      <c r="A54" s="3" t="s">
        <v>564</v>
      </c>
      <c r="B54" s="8">
        <v>1</v>
      </c>
      <c r="C54" s="8">
        <v>1</v>
      </c>
      <c r="D54" s="3" t="s">
        <v>144</v>
      </c>
      <c r="E54" s="14" t="s">
        <v>145</v>
      </c>
      <c r="F54" s="9" t="s">
        <v>372</v>
      </c>
      <c r="G54" s="2" t="s">
        <v>983</v>
      </c>
      <c r="H54" s="35" t="s">
        <v>330</v>
      </c>
      <c r="I54" s="31">
        <v>335682.67</v>
      </c>
      <c r="J54" s="30">
        <v>251762.0025</v>
      </c>
    </row>
    <row r="55" spans="1:10" ht="33.75">
      <c r="A55" s="3" t="s">
        <v>564</v>
      </c>
      <c r="B55" s="8">
        <v>1</v>
      </c>
      <c r="C55" s="8">
        <v>1</v>
      </c>
      <c r="D55" s="3" t="s">
        <v>144</v>
      </c>
      <c r="E55" s="14" t="s">
        <v>145</v>
      </c>
      <c r="F55" s="12" t="s">
        <v>275</v>
      </c>
      <c r="G55" s="2" t="s">
        <v>984</v>
      </c>
      <c r="H55" s="36" t="s">
        <v>423</v>
      </c>
      <c r="I55" s="31">
        <v>100000</v>
      </c>
      <c r="J55" s="30">
        <v>75000</v>
      </c>
    </row>
    <row r="56" spans="1:10" ht="33.75">
      <c r="A56" s="3" t="s">
        <v>564</v>
      </c>
      <c r="B56" s="8">
        <v>1</v>
      </c>
      <c r="C56" s="8">
        <v>1</v>
      </c>
      <c r="D56" s="3" t="s">
        <v>144</v>
      </c>
      <c r="E56" s="14" t="s">
        <v>145</v>
      </c>
      <c r="F56" s="12" t="s">
        <v>524</v>
      </c>
      <c r="G56" s="2" t="s">
        <v>984</v>
      </c>
      <c r="H56" s="36" t="s">
        <v>423</v>
      </c>
      <c r="I56" s="31">
        <v>100000</v>
      </c>
      <c r="J56" s="30">
        <v>75000</v>
      </c>
    </row>
    <row r="57" spans="1:10" ht="33.75">
      <c r="A57" s="3" t="s">
        <v>564</v>
      </c>
      <c r="B57" s="8">
        <v>1</v>
      </c>
      <c r="C57" s="8">
        <v>1</v>
      </c>
      <c r="D57" s="3" t="s">
        <v>144</v>
      </c>
      <c r="E57" s="14" t="s">
        <v>145</v>
      </c>
      <c r="F57" s="11" t="s">
        <v>278</v>
      </c>
      <c r="G57" s="2" t="s">
        <v>983</v>
      </c>
      <c r="H57" s="36" t="s">
        <v>423</v>
      </c>
      <c r="I57" s="31">
        <v>100000</v>
      </c>
      <c r="J57" s="30">
        <v>75000</v>
      </c>
    </row>
    <row r="58" spans="1:10" ht="33.75">
      <c r="A58" s="3" t="s">
        <v>564</v>
      </c>
      <c r="B58" s="8">
        <v>1</v>
      </c>
      <c r="C58" s="8">
        <v>1</v>
      </c>
      <c r="D58" s="3" t="s">
        <v>144</v>
      </c>
      <c r="E58" s="14" t="s">
        <v>145</v>
      </c>
      <c r="F58" s="11" t="s">
        <v>688</v>
      </c>
      <c r="G58" s="2" t="s">
        <v>983</v>
      </c>
      <c r="H58" s="36" t="s">
        <v>423</v>
      </c>
      <c r="I58" s="31">
        <f>100000-222.86</f>
        <v>99777.14</v>
      </c>
      <c r="J58" s="30">
        <v>74832.855</v>
      </c>
    </row>
    <row r="59" spans="1:10" ht="33.75">
      <c r="A59" s="3" t="s">
        <v>564</v>
      </c>
      <c r="B59" s="8">
        <v>1</v>
      </c>
      <c r="C59" s="8">
        <v>1</v>
      </c>
      <c r="D59" s="3" t="s">
        <v>144</v>
      </c>
      <c r="E59" s="14" t="s">
        <v>145</v>
      </c>
      <c r="F59" s="12" t="s">
        <v>990</v>
      </c>
      <c r="G59" s="2" t="s">
        <v>984</v>
      </c>
      <c r="H59" s="36" t="s">
        <v>423</v>
      </c>
      <c r="I59" s="31">
        <v>100000</v>
      </c>
      <c r="J59" s="30">
        <v>75000</v>
      </c>
    </row>
    <row r="60" spans="1:10" ht="33.75">
      <c r="A60" s="24" t="s">
        <v>564</v>
      </c>
      <c r="B60" s="6">
        <v>1</v>
      </c>
      <c r="C60" s="6">
        <v>1</v>
      </c>
      <c r="D60" s="33" t="s">
        <v>144</v>
      </c>
      <c r="E60" s="24" t="s">
        <v>145</v>
      </c>
      <c r="F60" s="24"/>
      <c r="G60" s="6"/>
      <c r="H60" s="6"/>
      <c r="I60" s="34">
        <f>SUBTOTAL(9,I54:I59)</f>
        <v>835459.8099999999</v>
      </c>
      <c r="J60" s="34">
        <v>626594.8575</v>
      </c>
    </row>
    <row r="61" spans="1:10" ht="33.75">
      <c r="A61" s="3" t="s">
        <v>563</v>
      </c>
      <c r="B61" s="8">
        <v>1</v>
      </c>
      <c r="C61" s="8">
        <v>2</v>
      </c>
      <c r="D61" s="3" t="s">
        <v>123</v>
      </c>
      <c r="E61" s="14" t="s">
        <v>124</v>
      </c>
      <c r="F61" s="1" t="s">
        <v>552</v>
      </c>
      <c r="G61" s="8" t="s">
        <v>984</v>
      </c>
      <c r="H61" s="36" t="s">
        <v>423</v>
      </c>
      <c r="I61" s="31">
        <v>200000</v>
      </c>
      <c r="J61" s="30">
        <v>150000</v>
      </c>
    </row>
    <row r="62" spans="1:10" ht="33.75">
      <c r="A62" s="3" t="s">
        <v>563</v>
      </c>
      <c r="B62" s="8">
        <v>1</v>
      </c>
      <c r="C62" s="8">
        <v>2</v>
      </c>
      <c r="D62" s="3" t="s">
        <v>123</v>
      </c>
      <c r="E62" s="14" t="s">
        <v>124</v>
      </c>
      <c r="F62" s="4" t="s">
        <v>695</v>
      </c>
      <c r="G62" s="2" t="s">
        <v>983</v>
      </c>
      <c r="H62" s="35" t="s">
        <v>330</v>
      </c>
      <c r="I62" s="31">
        <f>1000000+546.67</f>
        <v>1000546.67</v>
      </c>
      <c r="J62" s="30">
        <v>750410.0025000001</v>
      </c>
    </row>
    <row r="63" spans="1:10" ht="33.75">
      <c r="A63" s="24" t="s">
        <v>563</v>
      </c>
      <c r="B63" s="6">
        <v>1</v>
      </c>
      <c r="C63" s="6">
        <v>2</v>
      </c>
      <c r="D63" s="33" t="s">
        <v>123</v>
      </c>
      <c r="E63" s="24" t="s">
        <v>124</v>
      </c>
      <c r="F63" s="24"/>
      <c r="G63" s="6"/>
      <c r="H63" s="6"/>
      <c r="I63" s="34">
        <f>SUBTOTAL(9,I61:I62)</f>
        <v>1200546.67</v>
      </c>
      <c r="J63" s="34">
        <v>900410.0025000001</v>
      </c>
    </row>
    <row r="64" spans="1:10" ht="33.75">
      <c r="A64" s="3" t="s">
        <v>563</v>
      </c>
      <c r="B64" s="8">
        <v>1</v>
      </c>
      <c r="C64" s="8">
        <v>2</v>
      </c>
      <c r="D64" s="3" t="s">
        <v>125</v>
      </c>
      <c r="E64" s="14" t="s">
        <v>126</v>
      </c>
      <c r="F64" s="1" t="s">
        <v>552</v>
      </c>
      <c r="G64" s="8" t="s">
        <v>984</v>
      </c>
      <c r="H64" s="36" t="s">
        <v>423</v>
      </c>
      <c r="I64" s="29">
        <v>149419.66</v>
      </c>
      <c r="J64" s="30">
        <v>112064.745</v>
      </c>
    </row>
    <row r="65" spans="1:10" ht="33.75">
      <c r="A65" s="3" t="s">
        <v>563</v>
      </c>
      <c r="B65" s="8">
        <v>1</v>
      </c>
      <c r="C65" s="8">
        <v>2</v>
      </c>
      <c r="D65" s="3" t="s">
        <v>125</v>
      </c>
      <c r="E65" s="14" t="s">
        <v>126</v>
      </c>
      <c r="F65" s="4" t="s">
        <v>695</v>
      </c>
      <c r="G65" s="2" t="s">
        <v>983</v>
      </c>
      <c r="H65" s="35" t="s">
        <v>330</v>
      </c>
      <c r="I65" s="29">
        <v>987000</v>
      </c>
      <c r="J65" s="30">
        <v>740250</v>
      </c>
    </row>
    <row r="66" spans="1:10" ht="33.75">
      <c r="A66" s="3" t="s">
        <v>563</v>
      </c>
      <c r="B66" s="8">
        <v>1</v>
      </c>
      <c r="C66" s="8">
        <v>2</v>
      </c>
      <c r="D66" s="3" t="s">
        <v>125</v>
      </c>
      <c r="E66" s="14" t="s">
        <v>126</v>
      </c>
      <c r="F66" s="3" t="s">
        <v>694</v>
      </c>
      <c r="G66" s="2" t="s">
        <v>983</v>
      </c>
      <c r="H66" s="36" t="s">
        <v>423</v>
      </c>
      <c r="I66" s="29">
        <v>803000</v>
      </c>
      <c r="J66" s="30">
        <v>602250</v>
      </c>
    </row>
    <row r="67" spans="1:10" ht="33.75">
      <c r="A67" s="3" t="s">
        <v>563</v>
      </c>
      <c r="B67" s="8">
        <v>1</v>
      </c>
      <c r="C67" s="8">
        <v>2</v>
      </c>
      <c r="D67" s="3" t="s">
        <v>125</v>
      </c>
      <c r="E67" s="14" t="s">
        <v>126</v>
      </c>
      <c r="F67" s="1" t="s">
        <v>389</v>
      </c>
      <c r="G67" s="2" t="s">
        <v>984</v>
      </c>
      <c r="H67" s="36" t="s">
        <v>423</v>
      </c>
      <c r="I67" s="29">
        <v>50580.34</v>
      </c>
      <c r="J67" s="30">
        <v>37935.255</v>
      </c>
    </row>
    <row r="68" spans="1:10" ht="33.75">
      <c r="A68" s="3" t="s">
        <v>563</v>
      </c>
      <c r="B68" s="8">
        <v>1</v>
      </c>
      <c r="C68" s="8">
        <v>2</v>
      </c>
      <c r="D68" s="3" t="s">
        <v>125</v>
      </c>
      <c r="E68" s="14" t="s">
        <v>126</v>
      </c>
      <c r="F68" s="1" t="s">
        <v>392</v>
      </c>
      <c r="G68" s="2" t="s">
        <v>984</v>
      </c>
      <c r="H68" s="36" t="s">
        <v>423</v>
      </c>
      <c r="I68" s="29">
        <v>250000</v>
      </c>
      <c r="J68" s="30">
        <v>187500</v>
      </c>
    </row>
    <row r="69" spans="1:10" ht="33.75">
      <c r="A69" s="24" t="s">
        <v>563</v>
      </c>
      <c r="B69" s="6">
        <v>1</v>
      </c>
      <c r="C69" s="6">
        <v>2</v>
      </c>
      <c r="D69" s="33" t="s">
        <v>125</v>
      </c>
      <c r="E69" s="24" t="s">
        <v>126</v>
      </c>
      <c r="F69" s="24"/>
      <c r="G69" s="6"/>
      <c r="H69" s="6"/>
      <c r="I69" s="34">
        <f>SUBTOTAL(9,I64:I68)</f>
        <v>2240000</v>
      </c>
      <c r="J69" s="34">
        <v>1680000</v>
      </c>
    </row>
    <row r="70" spans="1:10" ht="33.75">
      <c r="A70" s="3" t="s">
        <v>563</v>
      </c>
      <c r="B70" s="8">
        <v>1</v>
      </c>
      <c r="C70" s="8">
        <v>2</v>
      </c>
      <c r="D70" s="3" t="s">
        <v>127</v>
      </c>
      <c r="E70" s="14" t="s">
        <v>128</v>
      </c>
      <c r="F70" s="4" t="s">
        <v>609</v>
      </c>
      <c r="G70" s="2" t="s">
        <v>983</v>
      </c>
      <c r="H70" s="35" t="s">
        <v>330</v>
      </c>
      <c r="I70" s="31">
        <v>574960</v>
      </c>
      <c r="J70" s="30">
        <v>431220</v>
      </c>
    </row>
    <row r="71" spans="1:10" ht="33.75">
      <c r="A71" s="3" t="s">
        <v>563</v>
      </c>
      <c r="B71" s="8">
        <v>1</v>
      </c>
      <c r="C71" s="8">
        <v>2</v>
      </c>
      <c r="D71" s="3" t="s">
        <v>127</v>
      </c>
      <c r="E71" s="14" t="s">
        <v>128</v>
      </c>
      <c r="F71" s="1" t="s">
        <v>843</v>
      </c>
      <c r="G71" s="2" t="s">
        <v>984</v>
      </c>
      <c r="H71" s="36" t="s">
        <v>423</v>
      </c>
      <c r="I71" s="31">
        <f>100000-23000</f>
        <v>77000</v>
      </c>
      <c r="J71" s="30">
        <v>57750</v>
      </c>
    </row>
    <row r="72" spans="1:10" ht="33.75">
      <c r="A72" s="24" t="s">
        <v>563</v>
      </c>
      <c r="B72" s="6">
        <v>1</v>
      </c>
      <c r="C72" s="6">
        <v>2</v>
      </c>
      <c r="D72" s="33" t="s">
        <v>127</v>
      </c>
      <c r="E72" s="24" t="s">
        <v>128</v>
      </c>
      <c r="F72" s="24"/>
      <c r="G72" s="6"/>
      <c r="H72" s="6"/>
      <c r="I72" s="34">
        <f>SUBTOTAL(9,I70:I71)</f>
        <v>651960</v>
      </c>
      <c r="J72" s="34">
        <v>488970</v>
      </c>
    </row>
    <row r="73" spans="1:10" ht="45">
      <c r="A73" s="3" t="s">
        <v>563</v>
      </c>
      <c r="B73" s="8">
        <v>1</v>
      </c>
      <c r="C73" s="8">
        <v>2</v>
      </c>
      <c r="D73" s="3" t="s">
        <v>129</v>
      </c>
      <c r="E73" s="14" t="s">
        <v>985</v>
      </c>
      <c r="F73" s="1" t="s">
        <v>370</v>
      </c>
      <c r="G73" s="8" t="s">
        <v>984</v>
      </c>
      <c r="H73" s="36" t="s">
        <v>423</v>
      </c>
      <c r="I73" s="29">
        <v>100000</v>
      </c>
      <c r="J73" s="30">
        <v>75000</v>
      </c>
    </row>
    <row r="74" spans="1:10" ht="45">
      <c r="A74" s="3" t="s">
        <v>563</v>
      </c>
      <c r="B74" s="8">
        <v>1</v>
      </c>
      <c r="C74" s="8"/>
      <c r="D74" s="3" t="s">
        <v>129</v>
      </c>
      <c r="E74" s="14" t="s">
        <v>985</v>
      </c>
      <c r="F74" s="1" t="s">
        <v>130</v>
      </c>
      <c r="G74" s="8" t="s">
        <v>983</v>
      </c>
      <c r="H74" s="36" t="s">
        <v>423</v>
      </c>
      <c r="I74" s="29">
        <v>187509.4</v>
      </c>
      <c r="J74" s="30">
        <v>140632.05</v>
      </c>
    </row>
    <row r="75" spans="1:10" ht="45">
      <c r="A75" s="3" t="s">
        <v>563</v>
      </c>
      <c r="B75" s="8">
        <v>1</v>
      </c>
      <c r="C75" s="8">
        <v>2</v>
      </c>
      <c r="D75" s="3" t="s">
        <v>129</v>
      </c>
      <c r="E75" s="14" t="s">
        <v>985</v>
      </c>
      <c r="F75" s="4" t="s">
        <v>830</v>
      </c>
      <c r="G75" s="2" t="s">
        <v>983</v>
      </c>
      <c r="H75" s="35" t="s">
        <v>330</v>
      </c>
      <c r="I75" s="29">
        <v>1451390.6</v>
      </c>
      <c r="J75" s="30">
        <v>1088542.9500000002</v>
      </c>
    </row>
    <row r="76" spans="1:10" ht="45">
      <c r="A76" s="24" t="s">
        <v>563</v>
      </c>
      <c r="B76" s="6">
        <v>1</v>
      </c>
      <c r="C76" s="6">
        <v>2</v>
      </c>
      <c r="D76" s="33" t="s">
        <v>129</v>
      </c>
      <c r="E76" s="24" t="s">
        <v>985</v>
      </c>
      <c r="F76" s="24"/>
      <c r="G76" s="6"/>
      <c r="H76" s="6"/>
      <c r="I76" s="34">
        <f>SUBTOTAL(9,I73:I75)</f>
        <v>1738900</v>
      </c>
      <c r="J76" s="34">
        <v>1304175.0000000002</v>
      </c>
    </row>
    <row r="77" spans="1:10" ht="22.5">
      <c r="A77" s="3" t="s">
        <v>565</v>
      </c>
      <c r="B77" s="8">
        <v>1</v>
      </c>
      <c r="C77" s="8">
        <v>3</v>
      </c>
      <c r="D77" s="3" t="s">
        <v>189</v>
      </c>
      <c r="E77" s="14" t="s">
        <v>190</v>
      </c>
      <c r="F77" s="11" t="s">
        <v>351</v>
      </c>
      <c r="G77" s="2" t="s">
        <v>983</v>
      </c>
      <c r="H77" s="36" t="s">
        <v>423</v>
      </c>
      <c r="I77" s="31">
        <v>253000</v>
      </c>
      <c r="J77" s="30">
        <v>189750</v>
      </c>
    </row>
    <row r="78" spans="1:10" ht="22.5">
      <c r="A78" s="3" t="s">
        <v>565</v>
      </c>
      <c r="B78" s="8">
        <v>1</v>
      </c>
      <c r="C78" s="8">
        <v>3</v>
      </c>
      <c r="D78" s="3" t="s">
        <v>189</v>
      </c>
      <c r="E78" s="14" t="s">
        <v>190</v>
      </c>
      <c r="F78" s="11" t="s">
        <v>259</v>
      </c>
      <c r="G78" s="2" t="s">
        <v>983</v>
      </c>
      <c r="H78" s="36" t="s">
        <v>423</v>
      </c>
      <c r="I78" s="31">
        <v>250000</v>
      </c>
      <c r="J78" s="30">
        <v>187500</v>
      </c>
    </row>
    <row r="79" spans="1:10" ht="22.5">
      <c r="A79" s="3" t="s">
        <v>565</v>
      </c>
      <c r="B79" s="8">
        <v>1</v>
      </c>
      <c r="C79" s="8">
        <v>3</v>
      </c>
      <c r="D79" s="3" t="s">
        <v>189</v>
      </c>
      <c r="E79" s="14" t="s">
        <v>190</v>
      </c>
      <c r="F79" s="11" t="s">
        <v>402</v>
      </c>
      <c r="G79" s="2" t="s">
        <v>983</v>
      </c>
      <c r="H79" s="36" t="s">
        <v>423</v>
      </c>
      <c r="I79" s="31">
        <v>214000</v>
      </c>
      <c r="J79" s="30">
        <v>160500</v>
      </c>
    </row>
    <row r="80" spans="1:10" ht="22.5">
      <c r="A80" s="3" t="s">
        <v>565</v>
      </c>
      <c r="B80" s="8">
        <v>1</v>
      </c>
      <c r="C80" s="8">
        <v>3</v>
      </c>
      <c r="D80" s="3" t="s">
        <v>189</v>
      </c>
      <c r="E80" s="14" t="s">
        <v>190</v>
      </c>
      <c r="F80" s="9" t="s">
        <v>607</v>
      </c>
      <c r="G80" s="2" t="s">
        <v>983</v>
      </c>
      <c r="H80" s="35" t="s">
        <v>330</v>
      </c>
      <c r="I80" s="31">
        <v>350000</v>
      </c>
      <c r="J80" s="30">
        <v>262500</v>
      </c>
    </row>
    <row r="81" spans="1:10" ht="22.5">
      <c r="A81" s="3" t="s">
        <v>565</v>
      </c>
      <c r="B81" s="8">
        <v>1</v>
      </c>
      <c r="C81" s="8">
        <v>3</v>
      </c>
      <c r="D81" s="3" t="s">
        <v>189</v>
      </c>
      <c r="E81" s="14" t="s">
        <v>190</v>
      </c>
      <c r="F81" s="11" t="s">
        <v>535</v>
      </c>
      <c r="G81" s="2" t="s">
        <v>983</v>
      </c>
      <c r="H81" s="36" t="s">
        <v>423</v>
      </c>
      <c r="I81" s="31">
        <v>200000</v>
      </c>
      <c r="J81" s="30">
        <v>150000</v>
      </c>
    </row>
    <row r="82" spans="1:10" ht="22.5">
      <c r="A82" s="3" t="s">
        <v>565</v>
      </c>
      <c r="B82" s="8">
        <v>1</v>
      </c>
      <c r="C82" s="8">
        <v>3</v>
      </c>
      <c r="D82" s="3" t="s">
        <v>189</v>
      </c>
      <c r="E82" s="14" t="s">
        <v>190</v>
      </c>
      <c r="F82" s="11" t="s">
        <v>850</v>
      </c>
      <c r="G82" s="2" t="s">
        <v>983</v>
      </c>
      <c r="H82" s="36" t="s">
        <v>423</v>
      </c>
      <c r="I82" s="31">
        <v>250000</v>
      </c>
      <c r="J82" s="30">
        <v>187500</v>
      </c>
    </row>
    <row r="83" spans="1:10" ht="22.5">
      <c r="A83" s="3" t="s">
        <v>565</v>
      </c>
      <c r="B83" s="8">
        <v>1</v>
      </c>
      <c r="C83" s="8">
        <v>3</v>
      </c>
      <c r="D83" s="3" t="s">
        <v>189</v>
      </c>
      <c r="E83" s="14" t="s">
        <v>190</v>
      </c>
      <c r="F83" s="12" t="s">
        <v>851</v>
      </c>
      <c r="G83" s="2" t="s">
        <v>984</v>
      </c>
      <c r="H83" s="36" t="s">
        <v>423</v>
      </c>
      <c r="I83" s="31">
        <v>100000</v>
      </c>
      <c r="J83" s="30">
        <v>75000</v>
      </c>
    </row>
    <row r="84" spans="1:10" ht="22.5">
      <c r="A84" s="3" t="s">
        <v>565</v>
      </c>
      <c r="B84" s="8">
        <v>1</v>
      </c>
      <c r="C84" s="8">
        <v>3</v>
      </c>
      <c r="D84" s="3" t="s">
        <v>189</v>
      </c>
      <c r="E84" s="14" t="s">
        <v>190</v>
      </c>
      <c r="F84" s="12" t="s">
        <v>534</v>
      </c>
      <c r="G84" s="2" t="s">
        <v>984</v>
      </c>
      <c r="H84" s="36" t="s">
        <v>423</v>
      </c>
      <c r="I84" s="31">
        <v>120000</v>
      </c>
      <c r="J84" s="30">
        <v>90000</v>
      </c>
    </row>
    <row r="85" spans="1:10" ht="22.5">
      <c r="A85" s="3" t="s">
        <v>565</v>
      </c>
      <c r="B85" s="8">
        <v>1</v>
      </c>
      <c r="C85" s="8">
        <v>3</v>
      </c>
      <c r="D85" s="3" t="s">
        <v>189</v>
      </c>
      <c r="E85" s="14" t="s">
        <v>190</v>
      </c>
      <c r="F85" s="1" t="s">
        <v>537</v>
      </c>
      <c r="G85" s="2" t="s">
        <v>984</v>
      </c>
      <c r="H85" s="36" t="s">
        <v>423</v>
      </c>
      <c r="I85" s="31">
        <v>120000</v>
      </c>
      <c r="J85" s="30">
        <v>90000</v>
      </c>
    </row>
    <row r="86" spans="1:10" ht="22.5">
      <c r="A86" s="3" t="s">
        <v>565</v>
      </c>
      <c r="B86" s="8">
        <v>1</v>
      </c>
      <c r="C86" s="8">
        <v>3</v>
      </c>
      <c r="D86" s="3" t="s">
        <v>189</v>
      </c>
      <c r="E86" s="14" t="s">
        <v>190</v>
      </c>
      <c r="F86" s="1" t="s">
        <v>991</v>
      </c>
      <c r="G86" s="2" t="s">
        <v>984</v>
      </c>
      <c r="H86" s="36" t="s">
        <v>423</v>
      </c>
      <c r="I86" s="31">
        <v>100000</v>
      </c>
      <c r="J86" s="30">
        <v>75000</v>
      </c>
    </row>
    <row r="87" spans="1:10" ht="22.5">
      <c r="A87" s="3" t="s">
        <v>565</v>
      </c>
      <c r="B87" s="8">
        <v>1</v>
      </c>
      <c r="C87" s="8">
        <v>3</v>
      </c>
      <c r="D87" s="3" t="s">
        <v>189</v>
      </c>
      <c r="E87" s="14" t="s">
        <v>190</v>
      </c>
      <c r="F87" s="12" t="s">
        <v>539</v>
      </c>
      <c r="G87" s="8" t="s">
        <v>984</v>
      </c>
      <c r="H87" s="36" t="s">
        <v>423</v>
      </c>
      <c r="I87" s="31">
        <v>100000</v>
      </c>
      <c r="J87" s="30">
        <v>75000</v>
      </c>
    </row>
    <row r="88" spans="1:10" ht="22.5">
      <c r="A88" s="3" t="s">
        <v>565</v>
      </c>
      <c r="B88" s="8">
        <v>1</v>
      </c>
      <c r="C88" s="8">
        <v>3</v>
      </c>
      <c r="D88" s="3" t="s">
        <v>189</v>
      </c>
      <c r="E88" s="14" t="s">
        <v>190</v>
      </c>
      <c r="F88" s="12" t="s">
        <v>451</v>
      </c>
      <c r="G88" s="2" t="s">
        <v>984</v>
      </c>
      <c r="H88" s="36" t="s">
        <v>423</v>
      </c>
      <c r="I88" s="31">
        <v>100000</v>
      </c>
      <c r="J88" s="30">
        <v>75000</v>
      </c>
    </row>
    <row r="89" spans="1:10" ht="22.5">
      <c r="A89" s="24" t="s">
        <v>565</v>
      </c>
      <c r="B89" s="6">
        <v>1</v>
      </c>
      <c r="C89" s="6">
        <v>3</v>
      </c>
      <c r="D89" s="33" t="s">
        <v>189</v>
      </c>
      <c r="E89" s="24" t="s">
        <v>190</v>
      </c>
      <c r="F89" s="24"/>
      <c r="G89" s="6"/>
      <c r="H89" s="6"/>
      <c r="I89" s="34">
        <f>SUBTOTAL(9,I77:I88)</f>
        <v>2157000</v>
      </c>
      <c r="J89" s="34">
        <v>1617750</v>
      </c>
    </row>
    <row r="90" spans="1:10" ht="22.5">
      <c r="A90" s="3" t="s">
        <v>807</v>
      </c>
      <c r="B90" s="8">
        <v>1</v>
      </c>
      <c r="C90" s="8">
        <v>1</v>
      </c>
      <c r="D90" s="3" t="s">
        <v>210</v>
      </c>
      <c r="E90" s="14" t="s">
        <v>211</v>
      </c>
      <c r="F90" s="1" t="s">
        <v>350</v>
      </c>
      <c r="G90" s="8" t="s">
        <v>984</v>
      </c>
      <c r="H90" s="36" t="s">
        <v>423</v>
      </c>
      <c r="I90" s="29">
        <v>100000</v>
      </c>
      <c r="J90" s="30">
        <v>75000</v>
      </c>
    </row>
    <row r="91" spans="1:10" ht="22.5">
      <c r="A91" s="3" t="s">
        <v>807</v>
      </c>
      <c r="B91" s="8">
        <v>1</v>
      </c>
      <c r="C91" s="8">
        <v>1</v>
      </c>
      <c r="D91" s="3" t="s">
        <v>210</v>
      </c>
      <c r="E91" s="14" t="s">
        <v>211</v>
      </c>
      <c r="F91" s="1" t="s">
        <v>574</v>
      </c>
      <c r="G91" s="2" t="s">
        <v>984</v>
      </c>
      <c r="H91" s="36" t="s">
        <v>423</v>
      </c>
      <c r="I91" s="29">
        <v>100000</v>
      </c>
      <c r="J91" s="30">
        <v>75000</v>
      </c>
    </row>
    <row r="92" spans="1:10" ht="22.5">
      <c r="A92" s="3" t="s">
        <v>807</v>
      </c>
      <c r="B92" s="8">
        <v>1</v>
      </c>
      <c r="C92" s="8">
        <v>1</v>
      </c>
      <c r="D92" s="3" t="s">
        <v>210</v>
      </c>
      <c r="E92" s="14" t="s">
        <v>211</v>
      </c>
      <c r="F92" s="1" t="s">
        <v>29</v>
      </c>
      <c r="G92" s="2" t="s">
        <v>983</v>
      </c>
      <c r="H92" s="36" t="s">
        <v>423</v>
      </c>
      <c r="I92" s="29">
        <v>105000</v>
      </c>
      <c r="J92" s="30">
        <v>78750</v>
      </c>
    </row>
    <row r="93" spans="1:10" ht="22.5">
      <c r="A93" s="3" t="s">
        <v>807</v>
      </c>
      <c r="B93" s="8">
        <v>1</v>
      </c>
      <c r="C93" s="8">
        <v>1</v>
      </c>
      <c r="D93" s="3" t="s">
        <v>210</v>
      </c>
      <c r="E93" s="14" t="s">
        <v>211</v>
      </c>
      <c r="F93" s="1" t="s">
        <v>719</v>
      </c>
      <c r="G93" s="8" t="s">
        <v>983</v>
      </c>
      <c r="H93" s="36" t="s">
        <v>423</v>
      </c>
      <c r="I93" s="29">
        <v>113000</v>
      </c>
      <c r="J93" s="30">
        <v>84750</v>
      </c>
    </row>
    <row r="94" spans="1:10" ht="22.5">
      <c r="A94" s="3" t="s">
        <v>807</v>
      </c>
      <c r="B94" s="8">
        <v>1</v>
      </c>
      <c r="C94" s="8">
        <v>1</v>
      </c>
      <c r="D94" s="3" t="s">
        <v>210</v>
      </c>
      <c r="E94" s="14" t="s">
        <v>211</v>
      </c>
      <c r="F94" s="1" t="s">
        <v>721</v>
      </c>
      <c r="G94" s="8" t="s">
        <v>984</v>
      </c>
      <c r="H94" s="36" t="s">
        <v>423</v>
      </c>
      <c r="I94" s="29">
        <v>100000</v>
      </c>
      <c r="J94" s="30">
        <v>75000</v>
      </c>
    </row>
    <row r="95" spans="1:10" ht="33.75">
      <c r="A95" s="3" t="s">
        <v>807</v>
      </c>
      <c r="B95" s="8">
        <v>1</v>
      </c>
      <c r="C95" s="8">
        <v>1</v>
      </c>
      <c r="D95" s="3" t="s">
        <v>210</v>
      </c>
      <c r="E95" s="14" t="s">
        <v>211</v>
      </c>
      <c r="F95" s="5" t="s">
        <v>212</v>
      </c>
      <c r="G95" s="8" t="s">
        <v>983</v>
      </c>
      <c r="H95" s="35" t="s">
        <v>330</v>
      </c>
      <c r="I95" s="29">
        <v>1088358</v>
      </c>
      <c r="J95" s="30">
        <v>816268.5</v>
      </c>
    </row>
    <row r="96" spans="1:10" ht="22.5">
      <c r="A96" s="24" t="s">
        <v>807</v>
      </c>
      <c r="B96" s="6">
        <v>1</v>
      </c>
      <c r="C96" s="6">
        <v>1</v>
      </c>
      <c r="D96" s="33" t="s">
        <v>210</v>
      </c>
      <c r="E96" s="24" t="s">
        <v>211</v>
      </c>
      <c r="F96" s="24"/>
      <c r="G96" s="6"/>
      <c r="H96" s="6"/>
      <c r="I96" s="34">
        <f>SUBTOTAL(9,I90:I95)</f>
        <v>1606358</v>
      </c>
      <c r="J96" s="34">
        <v>1204768.5</v>
      </c>
    </row>
    <row r="97" spans="1:10" ht="22.5">
      <c r="A97" s="3" t="s">
        <v>807</v>
      </c>
      <c r="B97" s="8">
        <v>1</v>
      </c>
      <c r="C97" s="8">
        <v>1</v>
      </c>
      <c r="D97" s="3" t="s">
        <v>213</v>
      </c>
      <c r="E97" s="19" t="s">
        <v>214</v>
      </c>
      <c r="F97" s="3" t="s">
        <v>7</v>
      </c>
      <c r="G97" s="2" t="s">
        <v>983</v>
      </c>
      <c r="H97" s="36" t="s">
        <v>423</v>
      </c>
      <c r="I97" s="29">
        <v>100000</v>
      </c>
      <c r="J97" s="30">
        <v>75000</v>
      </c>
    </row>
    <row r="98" spans="1:10" ht="22.5">
      <c r="A98" s="3" t="s">
        <v>807</v>
      </c>
      <c r="B98" s="8">
        <v>1</v>
      </c>
      <c r="C98" s="8">
        <v>1</v>
      </c>
      <c r="D98" s="3" t="s">
        <v>213</v>
      </c>
      <c r="E98" s="19" t="s">
        <v>214</v>
      </c>
      <c r="F98" s="5" t="s">
        <v>281</v>
      </c>
      <c r="G98" s="2" t="s">
        <v>983</v>
      </c>
      <c r="H98" s="35" t="s">
        <v>330</v>
      </c>
      <c r="I98" s="29">
        <v>505900</v>
      </c>
      <c r="J98" s="30">
        <v>379425</v>
      </c>
    </row>
    <row r="99" spans="1:10" ht="22.5">
      <c r="A99" s="3" t="s">
        <v>807</v>
      </c>
      <c r="B99" s="8">
        <v>1</v>
      </c>
      <c r="C99" s="8">
        <v>1</v>
      </c>
      <c r="D99" s="3" t="s">
        <v>213</v>
      </c>
      <c r="E99" s="19" t="s">
        <v>214</v>
      </c>
      <c r="F99" s="1" t="s">
        <v>685</v>
      </c>
      <c r="G99" s="2" t="s">
        <v>984</v>
      </c>
      <c r="H99" s="36" t="s">
        <v>423</v>
      </c>
      <c r="I99" s="29">
        <v>165333.33</v>
      </c>
      <c r="J99" s="30">
        <v>123999.4975</v>
      </c>
    </row>
    <row r="100" spans="1:10" ht="22.5">
      <c r="A100" s="24" t="s">
        <v>807</v>
      </c>
      <c r="B100" s="6">
        <v>1</v>
      </c>
      <c r="C100" s="6">
        <v>1</v>
      </c>
      <c r="D100" s="33" t="s">
        <v>213</v>
      </c>
      <c r="E100" s="24" t="s">
        <v>214</v>
      </c>
      <c r="F100" s="24"/>
      <c r="G100" s="6"/>
      <c r="H100" s="6"/>
      <c r="I100" s="34">
        <f>SUBTOTAL(9,I97:I99)</f>
        <v>771233.33</v>
      </c>
      <c r="J100" s="34">
        <v>578424.4975</v>
      </c>
    </row>
    <row r="101" spans="1:10" ht="45">
      <c r="A101" s="3" t="s">
        <v>807</v>
      </c>
      <c r="B101" s="8">
        <v>1</v>
      </c>
      <c r="C101" s="8">
        <v>1</v>
      </c>
      <c r="D101" s="3" t="s">
        <v>8</v>
      </c>
      <c r="E101" s="14" t="s">
        <v>9</v>
      </c>
      <c r="F101" s="4" t="s">
        <v>287</v>
      </c>
      <c r="G101" s="2" t="s">
        <v>983</v>
      </c>
      <c r="H101" s="15" t="s">
        <v>330</v>
      </c>
      <c r="I101" s="31">
        <v>266666.67</v>
      </c>
      <c r="J101" s="30">
        <v>200000.0025</v>
      </c>
    </row>
    <row r="102" spans="1:10" ht="45">
      <c r="A102" s="3" t="s">
        <v>807</v>
      </c>
      <c r="B102" s="8">
        <v>1</v>
      </c>
      <c r="C102" s="8">
        <v>1</v>
      </c>
      <c r="D102" s="3" t="s">
        <v>8</v>
      </c>
      <c r="E102" s="14" t="s">
        <v>9</v>
      </c>
      <c r="F102" s="3" t="s">
        <v>704</v>
      </c>
      <c r="G102" s="8" t="s">
        <v>983</v>
      </c>
      <c r="H102" s="15" t="s">
        <v>423</v>
      </c>
      <c r="I102" s="31">
        <v>266666.67</v>
      </c>
      <c r="J102" s="30">
        <v>200000.0025</v>
      </c>
    </row>
    <row r="103" spans="1:10" ht="45">
      <c r="A103" s="3" t="s">
        <v>807</v>
      </c>
      <c r="B103" s="8">
        <v>1</v>
      </c>
      <c r="C103" s="8">
        <v>1</v>
      </c>
      <c r="D103" s="3" t="s">
        <v>8</v>
      </c>
      <c r="E103" s="14" t="s">
        <v>9</v>
      </c>
      <c r="F103" s="1" t="s">
        <v>253</v>
      </c>
      <c r="G103" s="8" t="s">
        <v>984</v>
      </c>
      <c r="H103" s="15" t="s">
        <v>423</v>
      </c>
      <c r="I103" s="31">
        <v>207706.67</v>
      </c>
      <c r="J103" s="30">
        <v>155780.0025</v>
      </c>
    </row>
    <row r="104" spans="1:10" ht="45">
      <c r="A104" s="3" t="s">
        <v>807</v>
      </c>
      <c r="B104" s="8">
        <v>1</v>
      </c>
      <c r="C104" s="8">
        <v>1</v>
      </c>
      <c r="D104" s="3" t="s">
        <v>8</v>
      </c>
      <c r="E104" s="14" t="s">
        <v>9</v>
      </c>
      <c r="F104" s="3" t="s">
        <v>853</v>
      </c>
      <c r="G104" s="8" t="s">
        <v>983</v>
      </c>
      <c r="H104" s="15" t="s">
        <v>423</v>
      </c>
      <c r="I104" s="31">
        <v>240000</v>
      </c>
      <c r="J104" s="30">
        <v>180000</v>
      </c>
    </row>
    <row r="105" spans="1:10" ht="45">
      <c r="A105" s="3" t="s">
        <v>807</v>
      </c>
      <c r="B105" s="8">
        <v>1</v>
      </c>
      <c r="C105" s="8">
        <v>1</v>
      </c>
      <c r="D105" s="3" t="s">
        <v>8</v>
      </c>
      <c r="E105" s="14" t="s">
        <v>9</v>
      </c>
      <c r="F105" s="3" t="s">
        <v>629</v>
      </c>
      <c r="G105" s="8" t="s">
        <v>983</v>
      </c>
      <c r="H105" s="15" t="s">
        <v>423</v>
      </c>
      <c r="I105" s="31">
        <v>100000</v>
      </c>
      <c r="J105" s="30">
        <v>75000</v>
      </c>
    </row>
    <row r="106" spans="1:10" ht="45">
      <c r="A106" s="3" t="s">
        <v>807</v>
      </c>
      <c r="B106" s="8">
        <v>1</v>
      </c>
      <c r="C106" s="8">
        <v>1</v>
      </c>
      <c r="D106" s="3" t="s">
        <v>8</v>
      </c>
      <c r="E106" s="14" t="s">
        <v>9</v>
      </c>
      <c r="F106" s="1" t="s">
        <v>425</v>
      </c>
      <c r="G106" s="8" t="s">
        <v>984</v>
      </c>
      <c r="H106" s="15" t="s">
        <v>423</v>
      </c>
      <c r="I106" s="31">
        <v>100000</v>
      </c>
      <c r="J106" s="30">
        <v>75000</v>
      </c>
    </row>
    <row r="107" spans="1:10" ht="45">
      <c r="A107" s="3" t="s">
        <v>807</v>
      </c>
      <c r="B107" s="8">
        <v>1</v>
      </c>
      <c r="C107" s="8">
        <v>1</v>
      </c>
      <c r="D107" s="3" t="s">
        <v>8</v>
      </c>
      <c r="E107" s="14" t="s">
        <v>9</v>
      </c>
      <c r="F107" s="1" t="s">
        <v>722</v>
      </c>
      <c r="G107" s="8" t="s">
        <v>984</v>
      </c>
      <c r="H107" s="15" t="s">
        <v>423</v>
      </c>
      <c r="I107" s="31">
        <v>104000</v>
      </c>
      <c r="J107" s="30">
        <v>78000</v>
      </c>
    </row>
    <row r="108" spans="1:10" ht="45">
      <c r="A108" s="24" t="s">
        <v>807</v>
      </c>
      <c r="B108" s="6">
        <v>1</v>
      </c>
      <c r="C108" s="6">
        <v>1</v>
      </c>
      <c r="D108" s="33" t="s">
        <v>8</v>
      </c>
      <c r="E108" s="24" t="s">
        <v>9</v>
      </c>
      <c r="F108" s="24"/>
      <c r="G108" s="6"/>
      <c r="H108" s="6"/>
      <c r="I108" s="34">
        <f>SUBTOTAL(9,I101:I107)</f>
        <v>1285040.01</v>
      </c>
      <c r="J108" s="34">
        <v>963780.0075000001</v>
      </c>
    </row>
    <row r="109" spans="1:10" ht="33.75">
      <c r="A109" s="3" t="s">
        <v>564</v>
      </c>
      <c r="B109" s="8">
        <v>1</v>
      </c>
      <c r="C109" s="8">
        <v>4</v>
      </c>
      <c r="D109" s="3" t="s">
        <v>167</v>
      </c>
      <c r="E109" s="14" t="s">
        <v>168</v>
      </c>
      <c r="F109" s="10" t="s">
        <v>992</v>
      </c>
      <c r="G109" s="2" t="s">
        <v>983</v>
      </c>
      <c r="H109" s="15" t="s">
        <v>330</v>
      </c>
      <c r="I109" s="29">
        <v>100000</v>
      </c>
      <c r="J109" s="30">
        <v>75000</v>
      </c>
    </row>
    <row r="110" spans="1:10" ht="33.75">
      <c r="A110" s="3" t="s">
        <v>564</v>
      </c>
      <c r="B110" s="8">
        <v>1</v>
      </c>
      <c r="C110" s="8">
        <v>4</v>
      </c>
      <c r="D110" s="3" t="s">
        <v>167</v>
      </c>
      <c r="E110" s="14" t="s">
        <v>168</v>
      </c>
      <c r="F110" s="12" t="s">
        <v>541</v>
      </c>
      <c r="G110" s="8" t="s">
        <v>984</v>
      </c>
      <c r="H110" s="15" t="s">
        <v>423</v>
      </c>
      <c r="I110" s="29">
        <v>100000</v>
      </c>
      <c r="J110" s="30">
        <v>75000</v>
      </c>
    </row>
    <row r="111" spans="1:10" ht="33.75">
      <c r="A111" s="3" t="s">
        <v>564</v>
      </c>
      <c r="B111" s="8">
        <v>1</v>
      </c>
      <c r="C111" s="8">
        <v>4</v>
      </c>
      <c r="D111" s="3" t="s">
        <v>167</v>
      </c>
      <c r="E111" s="14" t="s">
        <v>168</v>
      </c>
      <c r="F111" s="12" t="s">
        <v>169</v>
      </c>
      <c r="G111" s="8" t="s">
        <v>984</v>
      </c>
      <c r="H111" s="15" t="s">
        <v>423</v>
      </c>
      <c r="I111" s="29">
        <v>100000</v>
      </c>
      <c r="J111" s="30">
        <v>75000</v>
      </c>
    </row>
    <row r="112" spans="1:10" ht="33.75">
      <c r="A112" s="3" t="s">
        <v>564</v>
      </c>
      <c r="B112" s="8">
        <v>1</v>
      </c>
      <c r="C112" s="8">
        <v>4</v>
      </c>
      <c r="D112" s="3" t="s">
        <v>167</v>
      </c>
      <c r="E112" s="14" t="s">
        <v>168</v>
      </c>
      <c r="F112" s="11" t="s">
        <v>512</v>
      </c>
      <c r="G112" s="8" t="s">
        <v>983</v>
      </c>
      <c r="H112" s="15" t="s">
        <v>423</v>
      </c>
      <c r="I112" s="29">
        <v>100000</v>
      </c>
      <c r="J112" s="30">
        <v>75000</v>
      </c>
    </row>
    <row r="113" spans="1:10" ht="33.75">
      <c r="A113" s="3" t="s">
        <v>564</v>
      </c>
      <c r="B113" s="8">
        <v>1</v>
      </c>
      <c r="C113" s="8">
        <v>4</v>
      </c>
      <c r="D113" s="3" t="s">
        <v>167</v>
      </c>
      <c r="E113" s="14" t="s">
        <v>986</v>
      </c>
      <c r="F113" s="11" t="s">
        <v>511</v>
      </c>
      <c r="G113" s="8" t="s">
        <v>983</v>
      </c>
      <c r="H113" s="15" t="s">
        <v>423</v>
      </c>
      <c r="I113" s="29">
        <v>100000</v>
      </c>
      <c r="J113" s="30">
        <v>75000</v>
      </c>
    </row>
    <row r="114" spans="1:10" ht="33.75">
      <c r="A114" s="24" t="s">
        <v>564</v>
      </c>
      <c r="B114" s="6">
        <v>1</v>
      </c>
      <c r="C114" s="6">
        <v>4</v>
      </c>
      <c r="D114" s="33" t="s">
        <v>167</v>
      </c>
      <c r="E114" s="24" t="s">
        <v>987</v>
      </c>
      <c r="F114" s="24"/>
      <c r="G114" s="6"/>
      <c r="H114" s="6"/>
      <c r="I114" s="34">
        <f>SUBTOTAL(9,I109:I113)</f>
        <v>500000</v>
      </c>
      <c r="J114" s="34">
        <v>375000</v>
      </c>
    </row>
    <row r="115" spans="1:10" ht="45">
      <c r="A115" s="3" t="s">
        <v>807</v>
      </c>
      <c r="B115" s="8">
        <v>1</v>
      </c>
      <c r="C115" s="8">
        <v>1</v>
      </c>
      <c r="D115" s="3" t="s">
        <v>10</v>
      </c>
      <c r="E115" s="14" t="s">
        <v>11</v>
      </c>
      <c r="F115" s="1" t="s">
        <v>340</v>
      </c>
      <c r="G115" s="8" t="s">
        <v>984</v>
      </c>
      <c r="H115" s="15" t="s">
        <v>423</v>
      </c>
      <c r="I115" s="31">
        <v>733333.33</v>
      </c>
      <c r="J115" s="30">
        <v>549999.9974999999</v>
      </c>
    </row>
    <row r="116" spans="1:10" ht="45">
      <c r="A116" s="3" t="s">
        <v>807</v>
      </c>
      <c r="B116" s="8">
        <v>1</v>
      </c>
      <c r="C116" s="8">
        <v>1</v>
      </c>
      <c r="D116" s="3" t="s">
        <v>10</v>
      </c>
      <c r="E116" s="14" t="s">
        <v>11</v>
      </c>
      <c r="F116" s="4" t="s">
        <v>3</v>
      </c>
      <c r="G116" s="8" t="s">
        <v>983</v>
      </c>
      <c r="H116" s="15" t="s">
        <v>330</v>
      </c>
      <c r="I116" s="31">
        <v>733333.33</v>
      </c>
      <c r="J116" s="30">
        <v>549999.9974999999</v>
      </c>
    </row>
    <row r="117" spans="1:10" ht="45">
      <c r="A117" s="24" t="s">
        <v>807</v>
      </c>
      <c r="B117" s="6">
        <v>1</v>
      </c>
      <c r="C117" s="6">
        <v>1</v>
      </c>
      <c r="D117" s="33" t="s">
        <v>10</v>
      </c>
      <c r="E117" s="24" t="s">
        <v>11</v>
      </c>
      <c r="F117" s="24"/>
      <c r="G117" s="6"/>
      <c r="H117" s="6"/>
      <c r="I117" s="34">
        <f>SUBTOTAL(9,I115:I116)</f>
        <v>1466666.66</v>
      </c>
      <c r="J117" s="34">
        <v>1099999.9949999999</v>
      </c>
    </row>
    <row r="118" spans="1:10" ht="56.25">
      <c r="A118" s="3" t="s">
        <v>807</v>
      </c>
      <c r="B118" s="8">
        <v>1</v>
      </c>
      <c r="C118" s="8">
        <v>1</v>
      </c>
      <c r="D118" s="3" t="s">
        <v>12</v>
      </c>
      <c r="E118" s="14" t="s">
        <v>13</v>
      </c>
      <c r="F118" s="3" t="s">
        <v>531</v>
      </c>
      <c r="G118" s="2" t="s">
        <v>983</v>
      </c>
      <c r="H118" s="15" t="s">
        <v>423</v>
      </c>
      <c r="I118" s="31">
        <v>227824.66</v>
      </c>
      <c r="J118" s="30">
        <v>170868.495</v>
      </c>
    </row>
    <row r="119" spans="1:10" ht="56.25">
      <c r="A119" s="3" t="s">
        <v>807</v>
      </c>
      <c r="B119" s="8">
        <v>1</v>
      </c>
      <c r="C119" s="8">
        <v>1</v>
      </c>
      <c r="D119" s="3" t="s">
        <v>12</v>
      </c>
      <c r="E119" s="14" t="s">
        <v>13</v>
      </c>
      <c r="F119" s="1" t="s">
        <v>322</v>
      </c>
      <c r="G119" s="8" t="s">
        <v>984</v>
      </c>
      <c r="H119" s="15" t="s">
        <v>423</v>
      </c>
      <c r="I119" s="31">
        <v>214666.67</v>
      </c>
      <c r="J119" s="30">
        <v>161000.0025</v>
      </c>
    </row>
    <row r="120" spans="1:10" ht="56.25">
      <c r="A120" s="3" t="s">
        <v>807</v>
      </c>
      <c r="B120" s="8">
        <v>1</v>
      </c>
      <c r="C120" s="8">
        <v>1</v>
      </c>
      <c r="D120" s="3" t="s">
        <v>12</v>
      </c>
      <c r="E120" s="14" t="s">
        <v>13</v>
      </c>
      <c r="F120" s="1" t="s">
        <v>14</v>
      </c>
      <c r="G120" s="8" t="s">
        <v>983</v>
      </c>
      <c r="H120" s="15" t="s">
        <v>423</v>
      </c>
      <c r="I120" s="31">
        <v>113619.1</v>
      </c>
      <c r="J120" s="30">
        <v>85214.32500000001</v>
      </c>
    </row>
    <row r="121" spans="1:10" ht="56.25">
      <c r="A121" s="3" t="s">
        <v>807</v>
      </c>
      <c r="B121" s="8">
        <v>1</v>
      </c>
      <c r="C121" s="8">
        <v>1</v>
      </c>
      <c r="D121" s="3" t="s">
        <v>12</v>
      </c>
      <c r="E121" s="14" t="s">
        <v>13</v>
      </c>
      <c r="F121" s="1" t="s">
        <v>15</v>
      </c>
      <c r="G121" s="8" t="s">
        <v>984</v>
      </c>
      <c r="H121" s="15" t="s">
        <v>423</v>
      </c>
      <c r="I121" s="31">
        <v>183066.67</v>
      </c>
      <c r="J121" s="30">
        <v>137300.0025</v>
      </c>
    </row>
    <row r="122" spans="1:10" ht="56.25">
      <c r="A122" s="3" t="s">
        <v>807</v>
      </c>
      <c r="B122" s="8">
        <v>1</v>
      </c>
      <c r="C122" s="8">
        <v>1</v>
      </c>
      <c r="D122" s="3" t="s">
        <v>12</v>
      </c>
      <c r="E122" s="14" t="s">
        <v>13</v>
      </c>
      <c r="F122" s="3" t="s">
        <v>16</v>
      </c>
      <c r="G122" s="2" t="s">
        <v>983</v>
      </c>
      <c r="H122" s="15" t="s">
        <v>423</v>
      </c>
      <c r="I122" s="31">
        <v>190604</v>
      </c>
      <c r="J122" s="30">
        <v>142953</v>
      </c>
    </row>
    <row r="123" spans="1:10" ht="56.25">
      <c r="A123" s="3" t="s">
        <v>807</v>
      </c>
      <c r="B123" s="8">
        <v>1</v>
      </c>
      <c r="C123" s="8">
        <v>1</v>
      </c>
      <c r="D123" s="3" t="s">
        <v>12</v>
      </c>
      <c r="E123" s="14" t="s">
        <v>13</v>
      </c>
      <c r="F123" s="3" t="s">
        <v>17</v>
      </c>
      <c r="G123" s="2" t="s">
        <v>983</v>
      </c>
      <c r="H123" s="15" t="s">
        <v>423</v>
      </c>
      <c r="I123" s="31">
        <v>112646.66</v>
      </c>
      <c r="J123" s="30">
        <v>84484.995</v>
      </c>
    </row>
    <row r="124" spans="1:10" ht="56.25">
      <c r="A124" s="3" t="s">
        <v>807</v>
      </c>
      <c r="B124" s="8">
        <v>1</v>
      </c>
      <c r="C124" s="8">
        <v>1</v>
      </c>
      <c r="D124" s="3" t="s">
        <v>12</v>
      </c>
      <c r="E124" s="14" t="s">
        <v>13</v>
      </c>
      <c r="F124" s="3" t="s">
        <v>18</v>
      </c>
      <c r="G124" s="8" t="s">
        <v>983</v>
      </c>
      <c r="H124" s="15" t="s">
        <v>423</v>
      </c>
      <c r="I124" s="31">
        <v>0</v>
      </c>
      <c r="J124" s="30">
        <v>0</v>
      </c>
    </row>
    <row r="125" spans="1:10" ht="56.25">
      <c r="A125" s="3" t="s">
        <v>807</v>
      </c>
      <c r="B125" s="8">
        <v>1</v>
      </c>
      <c r="C125" s="8">
        <v>1</v>
      </c>
      <c r="D125" s="3" t="s">
        <v>12</v>
      </c>
      <c r="E125" s="14" t="s">
        <v>13</v>
      </c>
      <c r="F125" s="4" t="s">
        <v>19</v>
      </c>
      <c r="G125" s="8" t="s">
        <v>983</v>
      </c>
      <c r="H125" s="15" t="s">
        <v>330</v>
      </c>
      <c r="I125" s="31">
        <v>288502</v>
      </c>
      <c r="J125" s="30">
        <v>216376.5</v>
      </c>
    </row>
    <row r="126" spans="1:10" ht="56.25">
      <c r="A126" s="3" t="s">
        <v>807</v>
      </c>
      <c r="B126" s="8">
        <v>1</v>
      </c>
      <c r="C126" s="8">
        <v>1</v>
      </c>
      <c r="D126" s="3" t="s">
        <v>12</v>
      </c>
      <c r="E126" s="14" t="s">
        <v>13</v>
      </c>
      <c r="F126" s="3" t="s">
        <v>20</v>
      </c>
      <c r="G126" s="2" t="s">
        <v>983</v>
      </c>
      <c r="H126" s="15" t="s">
        <v>423</v>
      </c>
      <c r="I126" s="31">
        <v>195048</v>
      </c>
      <c r="J126" s="30">
        <v>146286</v>
      </c>
    </row>
    <row r="127" spans="1:10" ht="56.25">
      <c r="A127" s="3" t="s">
        <v>807</v>
      </c>
      <c r="B127" s="8">
        <v>1</v>
      </c>
      <c r="C127" s="8">
        <v>1</v>
      </c>
      <c r="D127" s="3" t="s">
        <v>12</v>
      </c>
      <c r="E127" s="14" t="s">
        <v>13</v>
      </c>
      <c r="F127" s="1" t="s">
        <v>21</v>
      </c>
      <c r="G127" s="8" t="s">
        <v>984</v>
      </c>
      <c r="H127" s="15" t="s">
        <v>423</v>
      </c>
      <c r="I127" s="31">
        <v>150311.57</v>
      </c>
      <c r="J127" s="30">
        <v>112733.6775</v>
      </c>
    </row>
    <row r="128" spans="1:10" ht="56.25">
      <c r="A128" s="24" t="s">
        <v>807</v>
      </c>
      <c r="B128" s="6">
        <v>1</v>
      </c>
      <c r="C128" s="6">
        <v>1</v>
      </c>
      <c r="D128" s="33" t="s">
        <v>12</v>
      </c>
      <c r="E128" s="24" t="s">
        <v>13</v>
      </c>
      <c r="F128" s="24"/>
      <c r="G128" s="6"/>
      <c r="H128" s="6"/>
      <c r="I128" s="34">
        <f>SUBTOTAL(9,I118:I127)</f>
        <v>1676289.3300000003</v>
      </c>
      <c r="J128" s="34">
        <v>1257216.9974999998</v>
      </c>
    </row>
    <row r="129" spans="1:10" ht="45">
      <c r="A129" s="3" t="s">
        <v>561</v>
      </c>
      <c r="B129" s="8">
        <v>1</v>
      </c>
      <c r="C129" s="8">
        <v>3</v>
      </c>
      <c r="D129" s="3" t="s">
        <v>88</v>
      </c>
      <c r="E129" s="14" t="s">
        <v>89</v>
      </c>
      <c r="F129" s="1" t="s">
        <v>90</v>
      </c>
      <c r="G129" s="2" t="s">
        <v>983</v>
      </c>
      <c r="H129" s="15" t="s">
        <v>423</v>
      </c>
      <c r="I129" s="29">
        <v>100000</v>
      </c>
      <c r="J129" s="30">
        <v>75000</v>
      </c>
    </row>
    <row r="130" spans="1:10" ht="45">
      <c r="A130" s="3" t="s">
        <v>561</v>
      </c>
      <c r="B130" s="8">
        <v>1</v>
      </c>
      <c r="C130" s="8">
        <v>3</v>
      </c>
      <c r="D130" s="3" t="s">
        <v>88</v>
      </c>
      <c r="E130" s="14" t="s">
        <v>89</v>
      </c>
      <c r="F130" s="5" t="s">
        <v>91</v>
      </c>
      <c r="G130" s="2" t="s">
        <v>983</v>
      </c>
      <c r="H130" s="15" t="s">
        <v>330</v>
      </c>
      <c r="I130" s="29">
        <v>200000</v>
      </c>
      <c r="J130" s="30">
        <v>150000</v>
      </c>
    </row>
    <row r="131" spans="1:10" ht="45">
      <c r="A131" s="3" t="s">
        <v>561</v>
      </c>
      <c r="B131" s="8">
        <v>1</v>
      </c>
      <c r="C131" s="8">
        <v>3</v>
      </c>
      <c r="D131" s="3" t="s">
        <v>88</v>
      </c>
      <c r="E131" s="14" t="s">
        <v>89</v>
      </c>
      <c r="F131" s="1" t="s">
        <v>92</v>
      </c>
      <c r="G131" s="2" t="s">
        <v>983</v>
      </c>
      <c r="H131" s="15" t="s">
        <v>423</v>
      </c>
      <c r="I131" s="29">
        <v>100000</v>
      </c>
      <c r="J131" s="30">
        <v>75000</v>
      </c>
    </row>
    <row r="132" spans="1:10" ht="45">
      <c r="A132" s="3" t="s">
        <v>561</v>
      </c>
      <c r="B132" s="8">
        <v>1</v>
      </c>
      <c r="C132" s="8">
        <v>3</v>
      </c>
      <c r="D132" s="3" t="s">
        <v>88</v>
      </c>
      <c r="E132" s="14" t="s">
        <v>89</v>
      </c>
      <c r="F132" s="1" t="s">
        <v>533</v>
      </c>
      <c r="G132" s="2" t="s">
        <v>984</v>
      </c>
      <c r="H132" s="15" t="s">
        <v>423</v>
      </c>
      <c r="I132" s="29">
        <v>200000</v>
      </c>
      <c r="J132" s="30">
        <v>150000</v>
      </c>
    </row>
    <row r="133" spans="1:10" ht="45">
      <c r="A133" s="24" t="s">
        <v>561</v>
      </c>
      <c r="B133" s="6">
        <v>1</v>
      </c>
      <c r="C133" s="6">
        <v>3</v>
      </c>
      <c r="D133" s="33" t="s">
        <v>88</v>
      </c>
      <c r="E133" s="24" t="s">
        <v>89</v>
      </c>
      <c r="F133" s="24"/>
      <c r="G133" s="6"/>
      <c r="H133" s="6"/>
      <c r="I133" s="34">
        <f>SUBTOTAL(9,I129:I132)</f>
        <v>600000</v>
      </c>
      <c r="J133" s="34">
        <v>450000</v>
      </c>
    </row>
    <row r="134" spans="1:10" ht="22.5">
      <c r="A134" s="3" t="s">
        <v>565</v>
      </c>
      <c r="B134" s="8">
        <v>1</v>
      </c>
      <c r="C134" s="8">
        <v>4</v>
      </c>
      <c r="D134" s="3" t="s">
        <v>191</v>
      </c>
      <c r="E134" s="19" t="s">
        <v>192</v>
      </c>
      <c r="F134" s="12" t="s">
        <v>578</v>
      </c>
      <c r="G134" s="2" t="s">
        <v>984</v>
      </c>
      <c r="H134" s="15" t="s">
        <v>423</v>
      </c>
      <c r="I134" s="29">
        <v>125000</v>
      </c>
      <c r="J134" s="30">
        <v>93750</v>
      </c>
    </row>
    <row r="135" spans="1:10" ht="22.5">
      <c r="A135" s="3" t="s">
        <v>565</v>
      </c>
      <c r="B135" s="8">
        <v>1</v>
      </c>
      <c r="C135" s="8">
        <v>4</v>
      </c>
      <c r="D135" s="3" t="s">
        <v>191</v>
      </c>
      <c r="E135" s="19" t="s">
        <v>192</v>
      </c>
      <c r="F135" s="12" t="s">
        <v>193</v>
      </c>
      <c r="G135" s="2" t="s">
        <v>984</v>
      </c>
      <c r="H135" s="15" t="s">
        <v>423</v>
      </c>
      <c r="I135" s="29">
        <v>100000</v>
      </c>
      <c r="J135" s="30">
        <v>75000</v>
      </c>
    </row>
    <row r="136" spans="1:10" ht="22.5">
      <c r="A136" s="3" t="s">
        <v>565</v>
      </c>
      <c r="B136" s="8">
        <v>1</v>
      </c>
      <c r="C136" s="8">
        <v>4</v>
      </c>
      <c r="D136" s="3" t="s">
        <v>191</v>
      </c>
      <c r="E136" s="19" t="s">
        <v>192</v>
      </c>
      <c r="F136" s="10" t="s">
        <v>678</v>
      </c>
      <c r="G136" s="2" t="s">
        <v>983</v>
      </c>
      <c r="H136" s="15" t="s">
        <v>330</v>
      </c>
      <c r="I136" s="29">
        <v>275000</v>
      </c>
      <c r="J136" s="30">
        <v>206250</v>
      </c>
    </row>
    <row r="137" spans="1:10" ht="22.5">
      <c r="A137" s="24" t="s">
        <v>565</v>
      </c>
      <c r="B137" s="6">
        <v>1</v>
      </c>
      <c r="C137" s="6">
        <v>4</v>
      </c>
      <c r="D137" s="33" t="s">
        <v>191</v>
      </c>
      <c r="E137" s="24" t="s">
        <v>192</v>
      </c>
      <c r="F137" s="24"/>
      <c r="G137" s="6"/>
      <c r="H137" s="6"/>
      <c r="I137" s="34">
        <f>SUBTOTAL(9,I134:I136)</f>
        <v>500000</v>
      </c>
      <c r="J137" s="34">
        <v>375000</v>
      </c>
    </row>
    <row r="138" spans="1:10" ht="22.5">
      <c r="A138" s="3" t="s">
        <v>565</v>
      </c>
      <c r="B138" s="8">
        <v>1</v>
      </c>
      <c r="C138" s="8">
        <v>1</v>
      </c>
      <c r="D138" s="3" t="s">
        <v>180</v>
      </c>
      <c r="E138" s="19" t="s">
        <v>181</v>
      </c>
      <c r="F138" s="12" t="s">
        <v>291</v>
      </c>
      <c r="G138" s="2" t="s">
        <v>984</v>
      </c>
      <c r="H138" s="15" t="s">
        <v>423</v>
      </c>
      <c r="I138" s="29">
        <v>100000</v>
      </c>
      <c r="J138" s="30">
        <v>75000</v>
      </c>
    </row>
    <row r="139" spans="1:10" ht="22.5">
      <c r="A139" s="3" t="s">
        <v>565</v>
      </c>
      <c r="B139" s="8">
        <v>1</v>
      </c>
      <c r="C139" s="8">
        <v>1</v>
      </c>
      <c r="D139" s="3" t="s">
        <v>180</v>
      </c>
      <c r="E139" s="19" t="s">
        <v>181</v>
      </c>
      <c r="F139" s="12" t="s">
        <v>546</v>
      </c>
      <c r="G139" s="2" t="s">
        <v>984</v>
      </c>
      <c r="H139" s="15" t="s">
        <v>423</v>
      </c>
      <c r="I139" s="29">
        <v>127849.9966</v>
      </c>
      <c r="J139" s="30">
        <v>95887.49745</v>
      </c>
    </row>
    <row r="140" spans="1:10" ht="33.75">
      <c r="A140" s="3" t="s">
        <v>565</v>
      </c>
      <c r="B140" s="8">
        <v>1</v>
      </c>
      <c r="C140" s="8">
        <v>1</v>
      </c>
      <c r="D140" s="3" t="s">
        <v>180</v>
      </c>
      <c r="E140" s="19" t="s">
        <v>181</v>
      </c>
      <c r="F140" s="10" t="s">
        <v>639</v>
      </c>
      <c r="G140" s="2" t="s">
        <v>983</v>
      </c>
      <c r="H140" s="15" t="s">
        <v>330</v>
      </c>
      <c r="I140" s="29">
        <f>272150+10245.7</f>
        <v>282395.7</v>
      </c>
      <c r="J140" s="30">
        <v>211796.77500000002</v>
      </c>
    </row>
    <row r="141" spans="1:10" ht="12.75">
      <c r="A141" s="24" t="s">
        <v>565</v>
      </c>
      <c r="B141" s="6">
        <v>1</v>
      </c>
      <c r="C141" s="6">
        <v>1</v>
      </c>
      <c r="D141" s="33" t="s">
        <v>180</v>
      </c>
      <c r="E141" s="24" t="s">
        <v>181</v>
      </c>
      <c r="F141" s="24"/>
      <c r="G141" s="6"/>
      <c r="H141" s="6"/>
      <c r="I141" s="34">
        <f>SUBTOTAL(9,I138:I140)</f>
        <v>510245.6966</v>
      </c>
      <c r="J141" s="34">
        <v>382684.27245000005</v>
      </c>
    </row>
    <row r="142" spans="1:10" ht="22.5">
      <c r="A142" s="3" t="s">
        <v>565</v>
      </c>
      <c r="B142" s="8">
        <v>1</v>
      </c>
      <c r="C142" s="8">
        <v>1</v>
      </c>
      <c r="D142" s="3" t="s">
        <v>182</v>
      </c>
      <c r="E142" s="14" t="s">
        <v>183</v>
      </c>
      <c r="F142" s="10" t="s">
        <v>817</v>
      </c>
      <c r="G142" s="2" t="s">
        <v>983</v>
      </c>
      <c r="H142" s="15" t="s">
        <v>330</v>
      </c>
      <c r="I142" s="29">
        <v>372412.19</v>
      </c>
      <c r="J142" s="30">
        <v>279309.1425</v>
      </c>
    </row>
    <row r="143" spans="1:10" ht="22.5">
      <c r="A143" s="3" t="s">
        <v>565</v>
      </c>
      <c r="B143" s="8">
        <v>1</v>
      </c>
      <c r="C143" s="8">
        <v>1</v>
      </c>
      <c r="D143" s="3" t="s">
        <v>182</v>
      </c>
      <c r="E143" s="14" t="s">
        <v>183</v>
      </c>
      <c r="F143" s="12" t="s">
        <v>685</v>
      </c>
      <c r="G143" s="2" t="s">
        <v>984</v>
      </c>
      <c r="H143" s="15" t="s">
        <v>423</v>
      </c>
      <c r="I143" s="29">
        <v>108605.6</v>
      </c>
      <c r="J143" s="30">
        <v>81454.20000000001</v>
      </c>
    </row>
    <row r="144" spans="1:10" ht="22.5">
      <c r="A144" s="3" t="s">
        <v>565</v>
      </c>
      <c r="B144" s="8">
        <v>1</v>
      </c>
      <c r="C144" s="8">
        <v>1</v>
      </c>
      <c r="D144" s="3" t="s">
        <v>182</v>
      </c>
      <c r="E144" s="14" t="s">
        <v>183</v>
      </c>
      <c r="F144" s="12" t="s">
        <v>686</v>
      </c>
      <c r="G144" s="2" t="s">
        <v>984</v>
      </c>
      <c r="H144" s="15" t="s">
        <v>423</v>
      </c>
      <c r="I144" s="29">
        <v>108605.6</v>
      </c>
      <c r="J144" s="30">
        <v>81454.20000000001</v>
      </c>
    </row>
    <row r="145" spans="1:10" ht="22.5">
      <c r="A145" s="24" t="s">
        <v>565</v>
      </c>
      <c r="B145" s="6">
        <v>1</v>
      </c>
      <c r="C145" s="6">
        <v>1</v>
      </c>
      <c r="D145" s="33" t="s">
        <v>182</v>
      </c>
      <c r="E145" s="24" t="s">
        <v>183</v>
      </c>
      <c r="F145" s="24"/>
      <c r="G145" s="6"/>
      <c r="H145" s="6"/>
      <c r="I145" s="34">
        <f>SUBTOTAL(9,I142:I144)</f>
        <v>589623.39</v>
      </c>
      <c r="J145" s="34">
        <v>442217.54250000004</v>
      </c>
    </row>
    <row r="146" spans="1:10" ht="33.75">
      <c r="A146" s="3" t="s">
        <v>562</v>
      </c>
      <c r="B146" s="8">
        <v>1</v>
      </c>
      <c r="C146" s="8">
        <v>4</v>
      </c>
      <c r="D146" s="3" t="s">
        <v>111</v>
      </c>
      <c r="E146" s="14" t="s">
        <v>112</v>
      </c>
      <c r="F146" s="1" t="s">
        <v>481</v>
      </c>
      <c r="G146" s="2" t="s">
        <v>984</v>
      </c>
      <c r="H146" s="15" t="s">
        <v>423</v>
      </c>
      <c r="I146" s="29">
        <v>100000</v>
      </c>
      <c r="J146" s="30">
        <v>75000</v>
      </c>
    </row>
    <row r="147" spans="1:10" ht="33.75">
      <c r="A147" s="3" t="s">
        <v>562</v>
      </c>
      <c r="B147" s="8">
        <v>1</v>
      </c>
      <c r="C147" s="8">
        <v>4</v>
      </c>
      <c r="D147" s="3" t="s">
        <v>111</v>
      </c>
      <c r="E147" s="14" t="s">
        <v>112</v>
      </c>
      <c r="F147" s="1" t="s">
        <v>279</v>
      </c>
      <c r="G147" s="2" t="s">
        <v>984</v>
      </c>
      <c r="H147" s="15" t="s">
        <v>423</v>
      </c>
      <c r="I147" s="29">
        <v>102740</v>
      </c>
      <c r="J147" s="30">
        <v>77055</v>
      </c>
    </row>
    <row r="148" spans="1:10" ht="33.75">
      <c r="A148" s="3" t="s">
        <v>562</v>
      </c>
      <c r="B148" s="8">
        <v>1</v>
      </c>
      <c r="C148" s="8">
        <v>4</v>
      </c>
      <c r="D148" s="3" t="s">
        <v>111</v>
      </c>
      <c r="E148" s="14" t="s">
        <v>112</v>
      </c>
      <c r="F148" s="5" t="s">
        <v>513</v>
      </c>
      <c r="G148" s="2" t="s">
        <v>983</v>
      </c>
      <c r="H148" s="15" t="s">
        <v>330</v>
      </c>
      <c r="I148" s="29">
        <f>1312000+27289.48</f>
        <v>1339289.48</v>
      </c>
      <c r="J148" s="30">
        <v>1004467.11</v>
      </c>
    </row>
    <row r="149" spans="1:10" ht="33.75">
      <c r="A149" s="24" t="s">
        <v>562</v>
      </c>
      <c r="B149" s="6">
        <v>1</v>
      </c>
      <c r="C149" s="6">
        <v>4</v>
      </c>
      <c r="D149" s="33" t="s">
        <v>111</v>
      </c>
      <c r="E149" s="24" t="s">
        <v>112</v>
      </c>
      <c r="F149" s="24"/>
      <c r="G149" s="6"/>
      <c r="H149" s="6"/>
      <c r="I149" s="34">
        <f>SUBTOTAL(9,I146:I148)</f>
        <v>1542029.48</v>
      </c>
      <c r="J149" s="34">
        <v>1156522.1099999999</v>
      </c>
    </row>
    <row r="150" spans="1:10" ht="22.5">
      <c r="A150" s="3" t="s">
        <v>807</v>
      </c>
      <c r="B150" s="8">
        <v>1</v>
      </c>
      <c r="C150" s="8">
        <v>4</v>
      </c>
      <c r="D150" s="3" t="s">
        <v>54</v>
      </c>
      <c r="E150" s="14" t="s">
        <v>55</v>
      </c>
      <c r="F150" s="4" t="s">
        <v>615</v>
      </c>
      <c r="G150" s="2" t="s">
        <v>983</v>
      </c>
      <c r="H150" s="15" t="s">
        <v>330</v>
      </c>
      <c r="I150" s="31">
        <v>333320</v>
      </c>
      <c r="J150" s="30">
        <v>249990</v>
      </c>
    </row>
    <row r="151" spans="1:10" ht="22.5">
      <c r="A151" s="3" t="s">
        <v>807</v>
      </c>
      <c r="B151" s="8">
        <v>1</v>
      </c>
      <c r="C151" s="8">
        <v>4</v>
      </c>
      <c r="D151" s="3" t="s">
        <v>54</v>
      </c>
      <c r="E151" s="14" t="s">
        <v>55</v>
      </c>
      <c r="F151" s="3" t="s">
        <v>259</v>
      </c>
      <c r="G151" s="2" t="s">
        <v>983</v>
      </c>
      <c r="H151" s="15" t="s">
        <v>423</v>
      </c>
      <c r="I151" s="31">
        <v>406666</v>
      </c>
      <c r="J151" s="30">
        <v>304999.5</v>
      </c>
    </row>
    <row r="152" spans="1:10" ht="22.5">
      <c r="A152" s="3" t="s">
        <v>807</v>
      </c>
      <c r="B152" s="8">
        <v>1</v>
      </c>
      <c r="C152" s="8">
        <v>4</v>
      </c>
      <c r="D152" s="3" t="s">
        <v>54</v>
      </c>
      <c r="E152" s="14" t="s">
        <v>55</v>
      </c>
      <c r="F152" s="1" t="s">
        <v>263</v>
      </c>
      <c r="G152" s="2" t="s">
        <v>984</v>
      </c>
      <c r="H152" s="15" t="s">
        <v>423</v>
      </c>
      <c r="I152" s="31">
        <v>308452.88</v>
      </c>
      <c r="J152" s="30">
        <v>212681.82</v>
      </c>
    </row>
    <row r="153" spans="1:10" ht="22.5">
      <c r="A153" s="3" t="s">
        <v>807</v>
      </c>
      <c r="B153" s="8">
        <v>1</v>
      </c>
      <c r="C153" s="8">
        <v>4</v>
      </c>
      <c r="D153" s="3" t="s">
        <v>54</v>
      </c>
      <c r="E153" s="14" t="s">
        <v>55</v>
      </c>
      <c r="F153" s="3" t="s">
        <v>260</v>
      </c>
      <c r="G153" s="8" t="s">
        <v>983</v>
      </c>
      <c r="H153" s="15" t="s">
        <v>423</v>
      </c>
      <c r="I153" s="31">
        <v>125139.32</v>
      </c>
      <c r="J153" s="30">
        <v>112512.33</v>
      </c>
    </row>
    <row r="154" spans="1:10" ht="22.5">
      <c r="A154" s="3" t="s">
        <v>807</v>
      </c>
      <c r="B154" s="8">
        <v>1</v>
      </c>
      <c r="C154" s="8">
        <v>4</v>
      </c>
      <c r="D154" s="3" t="s">
        <v>54</v>
      </c>
      <c r="E154" s="14" t="s">
        <v>55</v>
      </c>
      <c r="F154" s="1" t="s">
        <v>578</v>
      </c>
      <c r="G154" s="2" t="s">
        <v>984</v>
      </c>
      <c r="H154" s="15" t="s">
        <v>423</v>
      </c>
      <c r="I154" s="31">
        <v>100000</v>
      </c>
      <c r="J154" s="30">
        <v>75000</v>
      </c>
    </row>
    <row r="155" spans="1:10" ht="22.5">
      <c r="A155" s="3" t="s">
        <v>807</v>
      </c>
      <c r="B155" s="8">
        <v>1</v>
      </c>
      <c r="C155" s="8">
        <v>4</v>
      </c>
      <c r="D155" s="3" t="s">
        <v>54</v>
      </c>
      <c r="E155" s="14" t="s">
        <v>55</v>
      </c>
      <c r="F155" s="1" t="s">
        <v>579</v>
      </c>
      <c r="G155" s="2" t="s">
        <v>983</v>
      </c>
      <c r="H155" s="15" t="s">
        <v>423</v>
      </c>
      <c r="I155" s="31">
        <v>60000</v>
      </c>
      <c r="J155" s="30">
        <v>45000</v>
      </c>
    </row>
    <row r="156" spans="1:10" ht="22.5">
      <c r="A156" s="24" t="s">
        <v>807</v>
      </c>
      <c r="B156" s="6">
        <v>1</v>
      </c>
      <c r="C156" s="6">
        <v>4</v>
      </c>
      <c r="D156" s="33" t="s">
        <v>54</v>
      </c>
      <c r="E156" s="24" t="s">
        <v>55</v>
      </c>
      <c r="F156" s="24"/>
      <c r="G156" s="6"/>
      <c r="H156" s="6"/>
      <c r="I156" s="34">
        <f>SUBTOTAL(9,I150:I155)</f>
        <v>1333578.2</v>
      </c>
      <c r="J156" s="34">
        <v>1000183.65</v>
      </c>
    </row>
    <row r="157" spans="1:10" ht="22.5">
      <c r="A157" s="3" t="s">
        <v>565</v>
      </c>
      <c r="B157" s="8">
        <v>1</v>
      </c>
      <c r="C157" s="8">
        <v>2</v>
      </c>
      <c r="D157" s="3" t="s">
        <v>80</v>
      </c>
      <c r="E157" s="19" t="s">
        <v>81</v>
      </c>
      <c r="F157" s="5" t="s">
        <v>646</v>
      </c>
      <c r="G157" s="2" t="s">
        <v>983</v>
      </c>
      <c r="H157" s="15" t="s">
        <v>330</v>
      </c>
      <c r="I157" s="29">
        <f>780000+162591.76</f>
        <v>942591.76</v>
      </c>
      <c r="J157" s="30">
        <v>706943.8200000001</v>
      </c>
    </row>
    <row r="158" spans="1:10" ht="22.5">
      <c r="A158" s="3" t="s">
        <v>565</v>
      </c>
      <c r="B158" s="8">
        <v>1</v>
      </c>
      <c r="C158" s="8">
        <v>2</v>
      </c>
      <c r="D158" s="3" t="s">
        <v>80</v>
      </c>
      <c r="E158" s="19" t="s">
        <v>81</v>
      </c>
      <c r="F158" s="1" t="s">
        <v>82</v>
      </c>
      <c r="G158" s="2" t="s">
        <v>984</v>
      </c>
      <c r="H158" s="15" t="s">
        <v>423</v>
      </c>
      <c r="I158" s="29">
        <v>150000</v>
      </c>
      <c r="J158" s="30">
        <v>112500</v>
      </c>
    </row>
    <row r="159" spans="1:10" ht="22.5">
      <c r="A159" s="24" t="s">
        <v>565</v>
      </c>
      <c r="B159" s="6">
        <v>1</v>
      </c>
      <c r="C159" s="6">
        <v>2</v>
      </c>
      <c r="D159" s="33" t="s">
        <v>80</v>
      </c>
      <c r="E159" s="24" t="s">
        <v>81</v>
      </c>
      <c r="F159" s="24"/>
      <c r="G159" s="6"/>
      <c r="H159" s="6"/>
      <c r="I159" s="34">
        <f>SUBTOTAL(9,I157:I158)</f>
        <v>1092591.76</v>
      </c>
      <c r="J159" s="34">
        <v>819443.8200000001</v>
      </c>
    </row>
    <row r="160" spans="1:10" ht="33.75">
      <c r="A160" s="3" t="s">
        <v>561</v>
      </c>
      <c r="B160" s="8">
        <v>1</v>
      </c>
      <c r="C160" s="8">
        <v>4</v>
      </c>
      <c r="D160" s="3" t="s">
        <v>97</v>
      </c>
      <c r="E160" s="14" t="s">
        <v>98</v>
      </c>
      <c r="F160" s="1" t="s">
        <v>458</v>
      </c>
      <c r="G160" s="2" t="s">
        <v>984</v>
      </c>
      <c r="H160" s="15" t="s">
        <v>423</v>
      </c>
      <c r="I160" s="29">
        <v>140000</v>
      </c>
      <c r="J160" s="30">
        <v>105000</v>
      </c>
    </row>
    <row r="161" spans="1:10" ht="33.75">
      <c r="A161" s="3" t="s">
        <v>561</v>
      </c>
      <c r="B161" s="8">
        <v>1</v>
      </c>
      <c r="C161" s="8">
        <v>4</v>
      </c>
      <c r="D161" s="3" t="s">
        <v>97</v>
      </c>
      <c r="E161" s="14" t="s">
        <v>98</v>
      </c>
      <c r="F161" s="1" t="s">
        <v>777</v>
      </c>
      <c r="G161" s="2" t="s">
        <v>984</v>
      </c>
      <c r="H161" s="15" t="s">
        <v>423</v>
      </c>
      <c r="I161" s="29">
        <v>160095</v>
      </c>
      <c r="J161" s="30">
        <v>120071.25</v>
      </c>
    </row>
    <row r="162" spans="1:10" ht="33.75">
      <c r="A162" s="3" t="s">
        <v>561</v>
      </c>
      <c r="B162" s="8">
        <v>1</v>
      </c>
      <c r="C162" s="8">
        <v>4</v>
      </c>
      <c r="D162" s="3" t="s">
        <v>97</v>
      </c>
      <c r="E162" s="14" t="s">
        <v>98</v>
      </c>
      <c r="F162" s="5" t="s">
        <v>650</v>
      </c>
      <c r="G162" s="2" t="s">
        <v>983</v>
      </c>
      <c r="H162" s="15" t="s">
        <v>330</v>
      </c>
      <c r="I162" s="29">
        <f>868480+581043.42</f>
        <v>1449523.42</v>
      </c>
      <c r="J162" s="30">
        <v>1087142.565</v>
      </c>
    </row>
    <row r="163" spans="1:10" ht="33.75">
      <c r="A163" s="24" t="s">
        <v>561</v>
      </c>
      <c r="B163" s="6">
        <v>1</v>
      </c>
      <c r="C163" s="6">
        <v>4</v>
      </c>
      <c r="D163" s="33" t="s">
        <v>97</v>
      </c>
      <c r="E163" s="24" t="s">
        <v>98</v>
      </c>
      <c r="F163" s="24"/>
      <c r="G163" s="6"/>
      <c r="H163" s="6"/>
      <c r="I163" s="34">
        <f>SUBTOTAL(9,I160:I162)</f>
        <v>1749618.42</v>
      </c>
      <c r="J163" s="34">
        <v>1312213.815</v>
      </c>
    </row>
    <row r="164" spans="1:10" ht="22.5">
      <c r="A164" s="3" t="s">
        <v>807</v>
      </c>
      <c r="B164" s="8">
        <v>1</v>
      </c>
      <c r="C164" s="8">
        <v>1</v>
      </c>
      <c r="D164" s="3" t="s">
        <v>22</v>
      </c>
      <c r="E164" s="14" t="s">
        <v>23</v>
      </c>
      <c r="F164" s="3" t="s">
        <v>349</v>
      </c>
      <c r="G164" s="2" t="s">
        <v>983</v>
      </c>
      <c r="H164" s="15" t="s">
        <v>423</v>
      </c>
      <c r="I164" s="29">
        <v>240000</v>
      </c>
      <c r="J164" s="30">
        <v>180000</v>
      </c>
    </row>
    <row r="165" spans="1:10" ht="22.5">
      <c r="A165" s="3" t="s">
        <v>807</v>
      </c>
      <c r="B165" s="8">
        <v>1</v>
      </c>
      <c r="C165" s="8">
        <v>1</v>
      </c>
      <c r="D165" s="3" t="s">
        <v>22</v>
      </c>
      <c r="E165" s="14" t="s">
        <v>23</v>
      </c>
      <c r="F165" s="5" t="s">
        <v>517</v>
      </c>
      <c r="G165" s="8" t="s">
        <v>983</v>
      </c>
      <c r="H165" s="15" t="s">
        <v>330</v>
      </c>
      <c r="I165" s="29">
        <v>585333.33</v>
      </c>
      <c r="J165" s="30">
        <v>438999.99749999994</v>
      </c>
    </row>
    <row r="166" spans="1:10" ht="22.5">
      <c r="A166" s="3" t="s">
        <v>807</v>
      </c>
      <c r="B166" s="8">
        <v>1</v>
      </c>
      <c r="C166" s="8">
        <v>1</v>
      </c>
      <c r="D166" s="3" t="s">
        <v>22</v>
      </c>
      <c r="E166" s="14" t="s">
        <v>23</v>
      </c>
      <c r="F166" s="1" t="s">
        <v>328</v>
      </c>
      <c r="G166" s="8" t="s">
        <v>984</v>
      </c>
      <c r="H166" s="15" t="s">
        <v>423</v>
      </c>
      <c r="I166" s="29">
        <v>152000</v>
      </c>
      <c r="J166" s="30">
        <v>114000</v>
      </c>
    </row>
    <row r="167" spans="1:10" ht="22.5">
      <c r="A167" s="3" t="s">
        <v>807</v>
      </c>
      <c r="B167" s="8">
        <v>1</v>
      </c>
      <c r="C167" s="8">
        <v>1</v>
      </c>
      <c r="D167" s="3" t="s">
        <v>22</v>
      </c>
      <c r="E167" s="14" t="s">
        <v>23</v>
      </c>
      <c r="F167" s="1" t="s">
        <v>719</v>
      </c>
      <c r="G167" s="8" t="s">
        <v>983</v>
      </c>
      <c r="H167" s="15" t="s">
        <v>423</v>
      </c>
      <c r="I167" s="29">
        <v>466000</v>
      </c>
      <c r="J167" s="30">
        <v>349500</v>
      </c>
    </row>
    <row r="168" spans="1:10" ht="22.5">
      <c r="A168" s="24" t="s">
        <v>807</v>
      </c>
      <c r="B168" s="6">
        <v>1</v>
      </c>
      <c r="C168" s="6">
        <v>1</v>
      </c>
      <c r="D168" s="33" t="s">
        <v>22</v>
      </c>
      <c r="E168" s="24" t="s">
        <v>23</v>
      </c>
      <c r="F168" s="24"/>
      <c r="G168" s="6"/>
      <c r="H168" s="6"/>
      <c r="I168" s="34">
        <f>SUBTOTAL(9,I164:I167)</f>
        <v>1443333.33</v>
      </c>
      <c r="J168" s="34">
        <v>1082499.9975</v>
      </c>
    </row>
    <row r="169" spans="1:10" ht="22.5">
      <c r="A169" s="3" t="s">
        <v>807</v>
      </c>
      <c r="B169" s="8">
        <v>1</v>
      </c>
      <c r="C169" s="8">
        <v>3</v>
      </c>
      <c r="D169" s="3" t="s">
        <v>52</v>
      </c>
      <c r="E169" s="14" t="s">
        <v>53</v>
      </c>
      <c r="F169" s="3" t="s">
        <v>259</v>
      </c>
      <c r="G169" s="2" t="s">
        <v>983</v>
      </c>
      <c r="H169" s="15" t="s">
        <v>423</v>
      </c>
      <c r="I169" s="29">
        <v>1956666.67</v>
      </c>
      <c r="J169" s="30">
        <v>1467500.0025</v>
      </c>
    </row>
    <row r="170" spans="1:10" ht="22.5">
      <c r="A170" s="3" t="s">
        <v>807</v>
      </c>
      <c r="B170" s="8">
        <v>1</v>
      </c>
      <c r="C170" s="8">
        <v>3</v>
      </c>
      <c r="D170" s="3" t="s">
        <v>52</v>
      </c>
      <c r="E170" s="14" t="s">
        <v>53</v>
      </c>
      <c r="F170" s="1" t="s">
        <v>263</v>
      </c>
      <c r="G170" s="2" t="s">
        <v>984</v>
      </c>
      <c r="H170" s="15" t="s">
        <v>423</v>
      </c>
      <c r="I170" s="29">
        <v>85419.222222</v>
      </c>
      <c r="J170" s="30">
        <v>64064.416666499994</v>
      </c>
    </row>
    <row r="171" spans="1:10" ht="22.5">
      <c r="A171" s="3" t="s">
        <v>807</v>
      </c>
      <c r="B171" s="8">
        <v>1</v>
      </c>
      <c r="C171" s="8">
        <v>3</v>
      </c>
      <c r="D171" s="3" t="s">
        <v>52</v>
      </c>
      <c r="E171" s="14" t="s">
        <v>53</v>
      </c>
      <c r="F171" s="5" t="s">
        <v>842</v>
      </c>
      <c r="G171" s="2" t="s">
        <v>984</v>
      </c>
      <c r="H171" s="15" t="s">
        <v>330</v>
      </c>
      <c r="I171" s="29">
        <v>447914.11</v>
      </c>
      <c r="J171" s="30">
        <v>335935.5825</v>
      </c>
    </row>
    <row r="172" spans="1:10" ht="22.5">
      <c r="A172" s="24" t="s">
        <v>807</v>
      </c>
      <c r="B172" s="6">
        <v>1</v>
      </c>
      <c r="C172" s="6">
        <v>3</v>
      </c>
      <c r="D172" s="33" t="s">
        <v>52</v>
      </c>
      <c r="E172" s="24" t="s">
        <v>53</v>
      </c>
      <c r="F172" s="24"/>
      <c r="G172" s="6"/>
      <c r="H172" s="6"/>
      <c r="I172" s="34">
        <f>SUBTOTAL(9,I169:I171)</f>
        <v>2490000.0022219997</v>
      </c>
      <c r="J172" s="34">
        <v>1867500.0016665</v>
      </c>
    </row>
    <row r="173" spans="1:10" ht="22.5">
      <c r="A173" s="22" t="s">
        <v>807</v>
      </c>
      <c r="B173" s="8">
        <v>1</v>
      </c>
      <c r="C173" s="21">
        <v>4</v>
      </c>
      <c r="D173" s="22" t="s">
        <v>56</v>
      </c>
      <c r="E173" s="14" t="s">
        <v>57</v>
      </c>
      <c r="F173" s="23" t="s">
        <v>838</v>
      </c>
      <c r="G173" s="8" t="s">
        <v>984</v>
      </c>
      <c r="H173" s="15" t="s">
        <v>330</v>
      </c>
      <c r="I173" s="29">
        <v>500000</v>
      </c>
      <c r="J173" s="30">
        <v>375000</v>
      </c>
    </row>
    <row r="174" spans="1:10" ht="22.5">
      <c r="A174" s="24" t="s">
        <v>807</v>
      </c>
      <c r="B174" s="6">
        <v>1</v>
      </c>
      <c r="C174" s="6">
        <v>4</v>
      </c>
      <c r="D174" s="33" t="s">
        <v>56</v>
      </c>
      <c r="E174" s="24" t="s">
        <v>57</v>
      </c>
      <c r="F174" s="24"/>
      <c r="G174" s="6"/>
      <c r="H174" s="6"/>
      <c r="I174" s="34">
        <f>SUBTOTAL(9,I173:I173)</f>
        <v>500000</v>
      </c>
      <c r="J174" s="34">
        <v>375000</v>
      </c>
    </row>
    <row r="175" spans="1:10" ht="22.5">
      <c r="A175" s="3" t="s">
        <v>807</v>
      </c>
      <c r="B175" s="8">
        <v>1</v>
      </c>
      <c r="C175" s="8">
        <v>4</v>
      </c>
      <c r="D175" s="3" t="s">
        <v>58</v>
      </c>
      <c r="E175" s="14" t="s">
        <v>59</v>
      </c>
      <c r="F175" s="1" t="s">
        <v>266</v>
      </c>
      <c r="G175" s="2" t="s">
        <v>983</v>
      </c>
      <c r="H175" s="15" t="s">
        <v>423</v>
      </c>
      <c r="I175" s="29">
        <v>100000</v>
      </c>
      <c r="J175" s="30">
        <v>75000</v>
      </c>
    </row>
    <row r="176" spans="1:10" ht="22.5">
      <c r="A176" s="3" t="s">
        <v>807</v>
      </c>
      <c r="B176" s="8">
        <v>1</v>
      </c>
      <c r="C176" s="8">
        <v>4</v>
      </c>
      <c r="D176" s="3" t="s">
        <v>58</v>
      </c>
      <c r="E176" s="14" t="s">
        <v>59</v>
      </c>
      <c r="F176" s="1" t="s">
        <v>1</v>
      </c>
      <c r="G176" s="2" t="s">
        <v>983</v>
      </c>
      <c r="H176" s="15" t="s">
        <v>423</v>
      </c>
      <c r="I176" s="29">
        <v>466666.67</v>
      </c>
      <c r="J176" s="30">
        <v>350000.0025</v>
      </c>
    </row>
    <row r="177" spans="1:10" ht="22.5">
      <c r="A177" s="3" t="s">
        <v>807</v>
      </c>
      <c r="B177" s="8">
        <v>1</v>
      </c>
      <c r="C177" s="8">
        <v>4</v>
      </c>
      <c r="D177" s="3" t="s">
        <v>58</v>
      </c>
      <c r="E177" s="14" t="s">
        <v>59</v>
      </c>
      <c r="F177" s="5" t="s">
        <v>533</v>
      </c>
      <c r="G177" s="2" t="s">
        <v>984</v>
      </c>
      <c r="H177" s="15" t="s">
        <v>330</v>
      </c>
      <c r="I177" s="29">
        <v>183333.33</v>
      </c>
      <c r="J177" s="30">
        <v>137499.9975</v>
      </c>
    </row>
    <row r="178" spans="1:10" ht="22.5">
      <c r="A178" s="24" t="s">
        <v>807</v>
      </c>
      <c r="B178" s="6">
        <v>1</v>
      </c>
      <c r="C178" s="6">
        <v>4</v>
      </c>
      <c r="D178" s="33" t="s">
        <v>58</v>
      </c>
      <c r="E178" s="24" t="s">
        <v>59</v>
      </c>
      <c r="F178" s="24"/>
      <c r="G178" s="6"/>
      <c r="H178" s="6"/>
      <c r="I178" s="34">
        <f>SUBTOTAL(9,I175:I177)</f>
        <v>749999.9999999999</v>
      </c>
      <c r="J178" s="34">
        <v>562500</v>
      </c>
    </row>
    <row r="179" spans="1:10" ht="33.75">
      <c r="A179" s="3" t="s">
        <v>564</v>
      </c>
      <c r="B179" s="8">
        <v>1</v>
      </c>
      <c r="C179" s="8">
        <v>1</v>
      </c>
      <c r="D179" s="3" t="s">
        <v>146</v>
      </c>
      <c r="E179" s="14" t="s">
        <v>147</v>
      </c>
      <c r="F179" s="12" t="s">
        <v>178</v>
      </c>
      <c r="G179" s="8" t="s">
        <v>983</v>
      </c>
      <c r="H179" s="15" t="s">
        <v>423</v>
      </c>
      <c r="I179" s="29">
        <v>279900</v>
      </c>
      <c r="J179" s="30">
        <v>209925</v>
      </c>
    </row>
    <row r="180" spans="1:10" ht="33.75">
      <c r="A180" s="3" t="s">
        <v>564</v>
      </c>
      <c r="B180" s="8">
        <v>1</v>
      </c>
      <c r="C180" s="8">
        <v>1</v>
      </c>
      <c r="D180" s="3" t="s">
        <v>146</v>
      </c>
      <c r="E180" s="14" t="s">
        <v>147</v>
      </c>
      <c r="F180" s="10" t="s">
        <v>993</v>
      </c>
      <c r="G180" s="8" t="s">
        <v>983</v>
      </c>
      <c r="H180" s="15" t="s">
        <v>330</v>
      </c>
      <c r="I180" s="29">
        <v>393600</v>
      </c>
      <c r="J180" s="30">
        <v>295200</v>
      </c>
    </row>
    <row r="181" spans="1:10" ht="33.75">
      <c r="A181" s="3" t="s">
        <v>564</v>
      </c>
      <c r="B181" s="8">
        <v>1</v>
      </c>
      <c r="C181" s="8">
        <v>1</v>
      </c>
      <c r="D181" s="3" t="s">
        <v>146</v>
      </c>
      <c r="E181" s="14" t="s">
        <v>147</v>
      </c>
      <c r="F181" s="12" t="s">
        <v>370</v>
      </c>
      <c r="G181" s="8" t="s">
        <v>984</v>
      </c>
      <c r="H181" s="15" t="s">
        <v>423</v>
      </c>
      <c r="I181" s="29">
        <v>164870.05</v>
      </c>
      <c r="J181" s="30">
        <v>123652.53749999999</v>
      </c>
    </row>
    <row r="182" spans="1:10" ht="33.75">
      <c r="A182" s="24" t="s">
        <v>564</v>
      </c>
      <c r="B182" s="6">
        <v>1</v>
      </c>
      <c r="C182" s="6">
        <v>1</v>
      </c>
      <c r="D182" s="33" t="s">
        <v>146</v>
      </c>
      <c r="E182" s="24" t="s">
        <v>147</v>
      </c>
      <c r="F182" s="24"/>
      <c r="G182" s="6"/>
      <c r="H182" s="6"/>
      <c r="I182" s="34">
        <f>SUBTOTAL(9,I179:I181)</f>
        <v>838370.05</v>
      </c>
      <c r="J182" s="34">
        <v>628777.5375</v>
      </c>
    </row>
    <row r="183" spans="1:10" ht="33.75">
      <c r="A183" s="3" t="s">
        <v>561</v>
      </c>
      <c r="B183" s="8">
        <v>1</v>
      </c>
      <c r="C183" s="8">
        <v>1</v>
      </c>
      <c r="D183" s="3" t="s">
        <v>71</v>
      </c>
      <c r="E183" s="14" t="s">
        <v>72</v>
      </c>
      <c r="F183" s="5" t="s">
        <v>646</v>
      </c>
      <c r="G183" s="2" t="s">
        <v>983</v>
      </c>
      <c r="H183" s="15" t="s">
        <v>330</v>
      </c>
      <c r="I183" s="29">
        <v>400000</v>
      </c>
      <c r="J183" s="30">
        <v>300000</v>
      </c>
    </row>
    <row r="184" spans="1:10" ht="33.75">
      <c r="A184" s="3" t="s">
        <v>561</v>
      </c>
      <c r="B184" s="8">
        <v>1</v>
      </c>
      <c r="C184" s="8">
        <v>1</v>
      </c>
      <c r="D184" s="3" t="s">
        <v>71</v>
      </c>
      <c r="E184" s="14" t="s">
        <v>72</v>
      </c>
      <c r="F184" s="1" t="s">
        <v>329</v>
      </c>
      <c r="G184" s="2" t="s">
        <v>984</v>
      </c>
      <c r="H184" s="15" t="s">
        <v>423</v>
      </c>
      <c r="I184" s="29">
        <v>133333.33333300002</v>
      </c>
      <c r="J184" s="30">
        <v>99999.99999975001</v>
      </c>
    </row>
    <row r="185" spans="1:10" ht="33.75">
      <c r="A185" s="24" t="s">
        <v>561</v>
      </c>
      <c r="B185" s="6">
        <v>1</v>
      </c>
      <c r="C185" s="6">
        <v>1</v>
      </c>
      <c r="D185" s="33" t="s">
        <v>71</v>
      </c>
      <c r="E185" s="24" t="s">
        <v>72</v>
      </c>
      <c r="F185" s="24"/>
      <c r="G185" s="6"/>
      <c r="H185" s="6"/>
      <c r="I185" s="34">
        <f>SUBTOTAL(9,I183:I184)</f>
        <v>533333.3333330001</v>
      </c>
      <c r="J185" s="34">
        <v>399999.99999975</v>
      </c>
    </row>
    <row r="186" spans="1:10" ht="45">
      <c r="A186" s="3" t="s">
        <v>561</v>
      </c>
      <c r="B186" s="8">
        <v>1</v>
      </c>
      <c r="C186" s="8">
        <v>3</v>
      </c>
      <c r="D186" s="3" t="s">
        <v>73</v>
      </c>
      <c r="E186" s="14" t="s">
        <v>74</v>
      </c>
      <c r="F186" s="3" t="s">
        <v>420</v>
      </c>
      <c r="G186" s="8" t="s">
        <v>983</v>
      </c>
      <c r="H186" s="15" t="s">
        <v>423</v>
      </c>
      <c r="I186" s="31">
        <v>0</v>
      </c>
      <c r="J186" s="30">
        <v>0</v>
      </c>
    </row>
    <row r="187" spans="1:10" ht="45">
      <c r="A187" s="3" t="s">
        <v>561</v>
      </c>
      <c r="B187" s="8">
        <v>1</v>
      </c>
      <c r="C187" s="8">
        <v>3</v>
      </c>
      <c r="D187" s="3" t="s">
        <v>73</v>
      </c>
      <c r="E187" s="14" t="s">
        <v>74</v>
      </c>
      <c r="F187" s="3" t="s">
        <v>402</v>
      </c>
      <c r="G187" s="2" t="s">
        <v>983</v>
      </c>
      <c r="H187" s="15" t="s">
        <v>423</v>
      </c>
      <c r="I187" s="31">
        <v>136666.66</v>
      </c>
      <c r="J187" s="30">
        <v>102499.995</v>
      </c>
    </row>
    <row r="188" spans="1:10" ht="45">
      <c r="A188" s="3" t="s">
        <v>561</v>
      </c>
      <c r="B188" s="8">
        <v>1</v>
      </c>
      <c r="C188" s="8">
        <v>3</v>
      </c>
      <c r="D188" s="3" t="s">
        <v>73</v>
      </c>
      <c r="E188" s="14" t="s">
        <v>74</v>
      </c>
      <c r="F188" s="1" t="s">
        <v>297</v>
      </c>
      <c r="G188" s="32" t="s">
        <v>984</v>
      </c>
      <c r="H188" s="15" t="s">
        <v>423</v>
      </c>
      <c r="I188" s="31">
        <v>266666.66</v>
      </c>
      <c r="J188" s="30">
        <v>199999.995</v>
      </c>
    </row>
    <row r="189" spans="1:10" ht="45">
      <c r="A189" s="3" t="s">
        <v>561</v>
      </c>
      <c r="B189" s="8">
        <v>1</v>
      </c>
      <c r="C189" s="8">
        <v>3</v>
      </c>
      <c r="D189" s="3" t="s">
        <v>73</v>
      </c>
      <c r="E189" s="14" t="s">
        <v>74</v>
      </c>
      <c r="F189" s="1" t="s">
        <v>434</v>
      </c>
      <c r="G189" s="2" t="s">
        <v>984</v>
      </c>
      <c r="H189" s="15" t="s">
        <v>423</v>
      </c>
      <c r="I189" s="31">
        <v>213100</v>
      </c>
      <c r="J189" s="30">
        <v>159825</v>
      </c>
    </row>
    <row r="190" spans="1:10" ht="45">
      <c r="A190" s="3" t="s">
        <v>561</v>
      </c>
      <c r="B190" s="8">
        <v>1</v>
      </c>
      <c r="C190" s="8">
        <v>3</v>
      </c>
      <c r="D190" s="3" t="s">
        <v>73</v>
      </c>
      <c r="E190" s="14" t="s">
        <v>74</v>
      </c>
      <c r="F190" s="1" t="s">
        <v>310</v>
      </c>
      <c r="G190" s="8" t="s">
        <v>984</v>
      </c>
      <c r="H190" s="15" t="s">
        <v>423</v>
      </c>
      <c r="I190" s="31">
        <v>153333.33</v>
      </c>
      <c r="J190" s="30">
        <v>114999.9975</v>
      </c>
    </row>
    <row r="191" spans="1:10" ht="45">
      <c r="A191" s="3" t="s">
        <v>561</v>
      </c>
      <c r="B191" s="8">
        <v>1</v>
      </c>
      <c r="C191" s="8">
        <v>3</v>
      </c>
      <c r="D191" s="3" t="s">
        <v>73</v>
      </c>
      <c r="E191" s="14" t="s">
        <v>74</v>
      </c>
      <c r="F191" s="4" t="s">
        <v>725</v>
      </c>
      <c r="G191" s="2" t="s">
        <v>983</v>
      </c>
      <c r="H191" s="15" t="s">
        <v>330</v>
      </c>
      <c r="I191" s="31">
        <v>257592</v>
      </c>
      <c r="J191" s="30">
        <v>193194</v>
      </c>
    </row>
    <row r="192" spans="1:10" ht="45">
      <c r="A192" s="24" t="s">
        <v>561</v>
      </c>
      <c r="B192" s="6">
        <v>1</v>
      </c>
      <c r="C192" s="6">
        <v>3</v>
      </c>
      <c r="D192" s="33" t="s">
        <v>73</v>
      </c>
      <c r="E192" s="24" t="s">
        <v>74</v>
      </c>
      <c r="F192" s="24"/>
      <c r="G192" s="6"/>
      <c r="H192" s="6"/>
      <c r="I192" s="34">
        <f>SUBTOTAL(9,I186:I191)</f>
        <v>1027358.6499999999</v>
      </c>
      <c r="J192" s="34">
        <v>770518.9875</v>
      </c>
    </row>
    <row r="193" spans="1:10" ht="33.75">
      <c r="A193" s="3" t="s">
        <v>564</v>
      </c>
      <c r="B193" s="8">
        <v>1</v>
      </c>
      <c r="C193" s="8">
        <v>4</v>
      </c>
      <c r="D193" s="3" t="s">
        <v>170</v>
      </c>
      <c r="E193" s="19" t="s">
        <v>171</v>
      </c>
      <c r="F193" s="10" t="s">
        <v>764</v>
      </c>
      <c r="G193" s="2" t="s">
        <v>983</v>
      </c>
      <c r="H193" s="15" t="s">
        <v>330</v>
      </c>
      <c r="I193" s="29">
        <v>2100000</v>
      </c>
      <c r="J193" s="30">
        <v>1575000</v>
      </c>
    </row>
    <row r="194" spans="1:10" ht="33.75">
      <c r="A194" s="3" t="s">
        <v>564</v>
      </c>
      <c r="B194" s="8">
        <v>1</v>
      </c>
      <c r="C194" s="8">
        <v>4</v>
      </c>
      <c r="D194" s="3" t="s">
        <v>170</v>
      </c>
      <c r="E194" s="19" t="s">
        <v>171</v>
      </c>
      <c r="F194" s="12" t="s">
        <v>519</v>
      </c>
      <c r="G194" s="2" t="s">
        <v>984</v>
      </c>
      <c r="H194" s="15" t="s">
        <v>423</v>
      </c>
      <c r="I194" s="29">
        <v>400000</v>
      </c>
      <c r="J194" s="30">
        <v>300000</v>
      </c>
    </row>
    <row r="195" spans="1:10" ht="33.75">
      <c r="A195" s="24" t="s">
        <v>564</v>
      </c>
      <c r="B195" s="6">
        <v>1</v>
      </c>
      <c r="C195" s="6">
        <v>4</v>
      </c>
      <c r="D195" s="33" t="s">
        <v>170</v>
      </c>
      <c r="E195" s="24" t="s">
        <v>171</v>
      </c>
      <c r="F195" s="24"/>
      <c r="G195" s="6"/>
      <c r="H195" s="6"/>
      <c r="I195" s="34">
        <f>SUBTOTAL(9,I193:I194)</f>
        <v>2500000</v>
      </c>
      <c r="J195" s="34">
        <v>1875000</v>
      </c>
    </row>
    <row r="196" spans="1:10" ht="33.75">
      <c r="A196" s="3" t="s">
        <v>564</v>
      </c>
      <c r="B196" s="8">
        <v>1</v>
      </c>
      <c r="C196" s="8">
        <v>2</v>
      </c>
      <c r="D196" s="3" t="s">
        <v>152</v>
      </c>
      <c r="E196" s="19" t="s">
        <v>153</v>
      </c>
      <c r="F196" s="10" t="s">
        <v>764</v>
      </c>
      <c r="G196" s="2" t="s">
        <v>983</v>
      </c>
      <c r="H196" s="15" t="s">
        <v>330</v>
      </c>
      <c r="I196" s="29">
        <v>1700000</v>
      </c>
      <c r="J196" s="30">
        <v>1275000</v>
      </c>
    </row>
    <row r="197" spans="1:10" ht="33.75">
      <c r="A197" s="3" t="s">
        <v>564</v>
      </c>
      <c r="B197" s="8">
        <v>1</v>
      </c>
      <c r="C197" s="8">
        <v>2</v>
      </c>
      <c r="D197" s="3" t="s">
        <v>152</v>
      </c>
      <c r="E197" s="19" t="s">
        <v>153</v>
      </c>
      <c r="F197" s="12" t="s">
        <v>519</v>
      </c>
      <c r="G197" s="2" t="s">
        <v>984</v>
      </c>
      <c r="H197" s="15" t="s">
        <v>423</v>
      </c>
      <c r="I197" s="29">
        <v>140516</v>
      </c>
      <c r="J197" s="30">
        <v>105387</v>
      </c>
    </row>
    <row r="198" spans="1:10" ht="33.75">
      <c r="A198" s="24" t="s">
        <v>564</v>
      </c>
      <c r="B198" s="6">
        <v>1</v>
      </c>
      <c r="C198" s="6">
        <v>2</v>
      </c>
      <c r="D198" s="33" t="s">
        <v>152</v>
      </c>
      <c r="E198" s="24" t="s">
        <v>153</v>
      </c>
      <c r="F198" s="24"/>
      <c r="G198" s="6"/>
      <c r="H198" s="6"/>
      <c r="I198" s="34">
        <f>SUBTOTAL(9,I196:I197)</f>
        <v>1840516</v>
      </c>
      <c r="J198" s="34">
        <v>1380387</v>
      </c>
    </row>
    <row r="199" spans="1:10" ht="22.5">
      <c r="A199" s="3" t="s">
        <v>807</v>
      </c>
      <c r="B199" s="8">
        <v>1</v>
      </c>
      <c r="C199" s="8">
        <v>4</v>
      </c>
      <c r="D199" s="3" t="s">
        <v>60</v>
      </c>
      <c r="E199" s="19" t="s">
        <v>61</v>
      </c>
      <c r="F199" s="1" t="s">
        <v>578</v>
      </c>
      <c r="G199" s="2" t="s">
        <v>984</v>
      </c>
      <c r="H199" s="15" t="s">
        <v>423</v>
      </c>
      <c r="I199" s="29">
        <v>277068.18</v>
      </c>
      <c r="J199" s="30">
        <v>207801.135</v>
      </c>
    </row>
    <row r="200" spans="1:10" ht="22.5">
      <c r="A200" s="3" t="s">
        <v>807</v>
      </c>
      <c r="B200" s="8">
        <v>1</v>
      </c>
      <c r="C200" s="8">
        <v>4</v>
      </c>
      <c r="D200" s="3" t="s">
        <v>60</v>
      </c>
      <c r="E200" s="19" t="s">
        <v>61</v>
      </c>
      <c r="F200" s="5" t="s">
        <v>579</v>
      </c>
      <c r="G200" s="2" t="s">
        <v>983</v>
      </c>
      <c r="H200" s="15" t="s">
        <v>330</v>
      </c>
      <c r="I200" s="29">
        <v>702894</v>
      </c>
      <c r="J200" s="30">
        <v>527170.5</v>
      </c>
    </row>
    <row r="201" spans="1:10" ht="22.5">
      <c r="A201" s="24" t="s">
        <v>807</v>
      </c>
      <c r="B201" s="6">
        <v>1</v>
      </c>
      <c r="C201" s="6">
        <v>4</v>
      </c>
      <c r="D201" s="33" t="s">
        <v>60</v>
      </c>
      <c r="E201" s="24" t="s">
        <v>61</v>
      </c>
      <c r="F201" s="24"/>
      <c r="G201" s="6"/>
      <c r="H201" s="6"/>
      <c r="I201" s="34">
        <f>SUBTOTAL(9,I199:I200)</f>
        <v>979962.1799999999</v>
      </c>
      <c r="J201" s="34">
        <v>734971.635</v>
      </c>
    </row>
    <row r="202" spans="1:10" ht="33.75">
      <c r="A202" s="3" t="s">
        <v>807</v>
      </c>
      <c r="B202" s="8">
        <v>1</v>
      </c>
      <c r="C202" s="8">
        <v>1</v>
      </c>
      <c r="D202" s="3" t="s">
        <v>24</v>
      </c>
      <c r="E202" s="14" t="s">
        <v>25</v>
      </c>
      <c r="F202" s="5" t="s">
        <v>759</v>
      </c>
      <c r="G202" s="8" t="s">
        <v>984</v>
      </c>
      <c r="H202" s="15" t="s">
        <v>330</v>
      </c>
      <c r="I202" s="29">
        <v>286666.6</v>
      </c>
      <c r="J202" s="30">
        <v>214999.94999999998</v>
      </c>
    </row>
    <row r="203" spans="1:10" ht="33.75">
      <c r="A203" s="3" t="s">
        <v>807</v>
      </c>
      <c r="B203" s="8">
        <v>1</v>
      </c>
      <c r="C203" s="8">
        <v>1</v>
      </c>
      <c r="D203" s="3" t="s">
        <v>24</v>
      </c>
      <c r="E203" s="14" t="s">
        <v>25</v>
      </c>
      <c r="F203" s="1" t="s">
        <v>284</v>
      </c>
      <c r="G203" s="8" t="s">
        <v>984</v>
      </c>
      <c r="H203" s="15" t="s">
        <v>423</v>
      </c>
      <c r="I203" s="29">
        <v>100000</v>
      </c>
      <c r="J203" s="30">
        <v>75000</v>
      </c>
    </row>
    <row r="204" spans="1:10" ht="33.75">
      <c r="A204" s="3" t="s">
        <v>807</v>
      </c>
      <c r="B204" s="8">
        <v>1</v>
      </c>
      <c r="C204" s="8">
        <v>1</v>
      </c>
      <c r="D204" s="3" t="s">
        <v>24</v>
      </c>
      <c r="E204" s="14" t="s">
        <v>25</v>
      </c>
      <c r="F204" s="3" t="s">
        <v>26</v>
      </c>
      <c r="G204" s="8" t="s">
        <v>983</v>
      </c>
      <c r="H204" s="15" t="s">
        <v>423</v>
      </c>
      <c r="I204" s="29">
        <v>201100</v>
      </c>
      <c r="J204" s="30">
        <v>150825</v>
      </c>
    </row>
    <row r="205" spans="1:10" ht="33.75">
      <c r="A205" s="24" t="s">
        <v>807</v>
      </c>
      <c r="B205" s="6">
        <v>1</v>
      </c>
      <c r="C205" s="6">
        <v>1</v>
      </c>
      <c r="D205" s="33" t="s">
        <v>24</v>
      </c>
      <c r="E205" s="24" t="s">
        <v>25</v>
      </c>
      <c r="F205" s="24"/>
      <c r="G205" s="6"/>
      <c r="H205" s="6"/>
      <c r="I205" s="34">
        <f>SUBTOTAL(9,I202:I204)</f>
        <v>587766.6</v>
      </c>
      <c r="J205" s="34">
        <v>440824.94999999995</v>
      </c>
    </row>
    <row r="206" spans="1:10" ht="33.75">
      <c r="A206" s="3" t="s">
        <v>807</v>
      </c>
      <c r="B206" s="8">
        <v>1</v>
      </c>
      <c r="C206" s="8">
        <v>1</v>
      </c>
      <c r="D206" s="3" t="s">
        <v>27</v>
      </c>
      <c r="E206" s="14" t="s">
        <v>28</v>
      </c>
      <c r="F206" s="3" t="s">
        <v>287</v>
      </c>
      <c r="G206" s="2" t="s">
        <v>983</v>
      </c>
      <c r="H206" s="15" t="s">
        <v>423</v>
      </c>
      <c r="I206" s="31">
        <f>200000-19501.69</f>
        <v>180498.31</v>
      </c>
      <c r="J206" s="30">
        <v>135373.73249999998</v>
      </c>
    </row>
    <row r="207" spans="1:10" ht="33.75">
      <c r="A207" s="3" t="s">
        <v>807</v>
      </c>
      <c r="B207" s="8">
        <v>1</v>
      </c>
      <c r="C207" s="8">
        <v>1</v>
      </c>
      <c r="D207" s="3" t="s">
        <v>27</v>
      </c>
      <c r="E207" s="14" t="s">
        <v>28</v>
      </c>
      <c r="F207" s="1" t="s">
        <v>784</v>
      </c>
      <c r="G207" s="2" t="s">
        <v>984</v>
      </c>
      <c r="H207" s="15" t="s">
        <v>423</v>
      </c>
      <c r="I207" s="31">
        <v>177000</v>
      </c>
      <c r="J207" s="30">
        <v>132750</v>
      </c>
    </row>
    <row r="208" spans="1:10" ht="33.75">
      <c r="A208" s="3" t="s">
        <v>807</v>
      </c>
      <c r="B208" s="8">
        <v>1</v>
      </c>
      <c r="C208" s="8">
        <v>1</v>
      </c>
      <c r="D208" s="3" t="s">
        <v>27</v>
      </c>
      <c r="E208" s="14" t="s">
        <v>28</v>
      </c>
      <c r="F208" s="3" t="s">
        <v>293</v>
      </c>
      <c r="G208" s="2" t="s">
        <v>983</v>
      </c>
      <c r="H208" s="15" t="s">
        <v>423</v>
      </c>
      <c r="I208" s="31">
        <f>146655.94+1843.76</f>
        <v>148499.7</v>
      </c>
      <c r="J208" s="30">
        <v>111374.77500000001</v>
      </c>
    </row>
    <row r="209" spans="1:10" ht="33.75">
      <c r="A209" s="3" t="s">
        <v>807</v>
      </c>
      <c r="B209" s="8">
        <v>1</v>
      </c>
      <c r="C209" s="8">
        <v>1</v>
      </c>
      <c r="D209" s="3" t="s">
        <v>27</v>
      </c>
      <c r="E209" s="14" t="s">
        <v>28</v>
      </c>
      <c r="F209" s="1" t="s">
        <v>311</v>
      </c>
      <c r="G209" s="8" t="s">
        <v>984</v>
      </c>
      <c r="H209" s="15" t="s">
        <v>423</v>
      </c>
      <c r="I209" s="29">
        <v>126000</v>
      </c>
      <c r="J209" s="30">
        <v>94500</v>
      </c>
    </row>
    <row r="210" spans="1:10" ht="33.75">
      <c r="A210" s="3" t="s">
        <v>807</v>
      </c>
      <c r="B210" s="8">
        <v>1</v>
      </c>
      <c r="C210" s="8">
        <v>1</v>
      </c>
      <c r="D210" s="3" t="s">
        <v>27</v>
      </c>
      <c r="E210" s="14" t="s">
        <v>28</v>
      </c>
      <c r="F210" s="1" t="s">
        <v>574</v>
      </c>
      <c r="G210" s="2" t="s">
        <v>984</v>
      </c>
      <c r="H210" s="15" t="s">
        <v>423</v>
      </c>
      <c r="I210" s="29">
        <v>126660</v>
      </c>
      <c r="J210" s="30">
        <v>94995</v>
      </c>
    </row>
    <row r="211" spans="1:10" ht="33.75">
      <c r="A211" s="3" t="s">
        <v>807</v>
      </c>
      <c r="B211" s="8">
        <v>1</v>
      </c>
      <c r="C211" s="8">
        <v>1</v>
      </c>
      <c r="D211" s="3" t="s">
        <v>27</v>
      </c>
      <c r="E211" s="14" t="s">
        <v>28</v>
      </c>
      <c r="F211" s="5" t="s">
        <v>410</v>
      </c>
      <c r="G211" s="2" t="s">
        <v>984</v>
      </c>
      <c r="H211" s="15" t="s">
        <v>330</v>
      </c>
      <c r="I211" s="29">
        <v>268880</v>
      </c>
      <c r="J211" s="30">
        <v>201660</v>
      </c>
    </row>
    <row r="212" spans="1:10" ht="33.75">
      <c r="A212" s="3" t="s">
        <v>807</v>
      </c>
      <c r="B212" s="8">
        <v>1</v>
      </c>
      <c r="C212" s="8">
        <v>1</v>
      </c>
      <c r="D212" s="3" t="s">
        <v>27</v>
      </c>
      <c r="E212" s="14" t="s">
        <v>28</v>
      </c>
      <c r="F212" s="1" t="s">
        <v>29</v>
      </c>
      <c r="G212" s="2" t="s">
        <v>983</v>
      </c>
      <c r="H212" s="15" t="s">
        <v>423</v>
      </c>
      <c r="I212" s="29">
        <v>168092.91</v>
      </c>
      <c r="J212" s="30">
        <v>126069.6825</v>
      </c>
    </row>
    <row r="213" spans="1:10" ht="33.75">
      <c r="A213" s="3" t="s">
        <v>807</v>
      </c>
      <c r="B213" s="8">
        <v>1</v>
      </c>
      <c r="C213" s="8">
        <v>1</v>
      </c>
      <c r="D213" s="3" t="s">
        <v>27</v>
      </c>
      <c r="E213" s="14" t="s">
        <v>28</v>
      </c>
      <c r="F213" s="1" t="s">
        <v>283</v>
      </c>
      <c r="G213" s="8" t="s">
        <v>983</v>
      </c>
      <c r="H213" s="15" t="s">
        <v>423</v>
      </c>
      <c r="I213" s="31">
        <f>539417.65+19501.69</f>
        <v>558919.34</v>
      </c>
      <c r="J213" s="30">
        <v>419189.505</v>
      </c>
    </row>
    <row r="214" spans="1:10" ht="33.75">
      <c r="A214" s="3" t="s">
        <v>807</v>
      </c>
      <c r="B214" s="8">
        <v>1</v>
      </c>
      <c r="C214" s="8">
        <v>1</v>
      </c>
      <c r="D214" s="3" t="s">
        <v>27</v>
      </c>
      <c r="E214" s="14" t="s">
        <v>28</v>
      </c>
      <c r="F214" s="1" t="s">
        <v>411</v>
      </c>
      <c r="G214" s="8" t="s">
        <v>984</v>
      </c>
      <c r="H214" s="15" t="s">
        <v>423</v>
      </c>
      <c r="I214" s="31">
        <f>166000+4029.54</f>
        <v>170029.54</v>
      </c>
      <c r="J214" s="30">
        <v>127522.155</v>
      </c>
    </row>
    <row r="215" spans="1:10" ht="33.75">
      <c r="A215" s="3" t="s">
        <v>807</v>
      </c>
      <c r="B215" s="8">
        <v>1</v>
      </c>
      <c r="C215" s="8">
        <v>1</v>
      </c>
      <c r="D215" s="3" t="s">
        <v>27</v>
      </c>
      <c r="E215" s="14" t="s">
        <v>28</v>
      </c>
      <c r="F215" s="3" t="s">
        <v>806</v>
      </c>
      <c r="G215" s="8" t="s">
        <v>983</v>
      </c>
      <c r="H215" s="15" t="s">
        <v>423</v>
      </c>
      <c r="I215" s="29">
        <v>141810.66</v>
      </c>
      <c r="J215" s="30">
        <v>106357.995</v>
      </c>
    </row>
    <row r="216" spans="1:10" ht="33.75">
      <c r="A216" s="24" t="s">
        <v>807</v>
      </c>
      <c r="B216" s="6">
        <v>1</v>
      </c>
      <c r="C216" s="6">
        <v>1</v>
      </c>
      <c r="D216" s="33" t="s">
        <v>27</v>
      </c>
      <c r="E216" s="24" t="s">
        <v>28</v>
      </c>
      <c r="F216" s="24"/>
      <c r="G216" s="6"/>
      <c r="H216" s="6"/>
      <c r="I216" s="34">
        <f>SUBTOTAL(9,I206:I215)</f>
        <v>2066390.4599999997</v>
      </c>
      <c r="J216" s="34">
        <v>1549792.8450000002</v>
      </c>
    </row>
    <row r="217" spans="1:10" ht="33.75">
      <c r="A217" s="3" t="s">
        <v>561</v>
      </c>
      <c r="B217" s="8">
        <v>1</v>
      </c>
      <c r="C217" s="8">
        <v>1</v>
      </c>
      <c r="D217" s="3" t="s">
        <v>75</v>
      </c>
      <c r="E217" s="14" t="s">
        <v>76</v>
      </c>
      <c r="F217" s="4" t="s">
        <v>520</v>
      </c>
      <c r="G217" s="8" t="s">
        <v>983</v>
      </c>
      <c r="H217" s="15" t="s">
        <v>330</v>
      </c>
      <c r="I217" s="31">
        <f>1098666.6666+84344.85</f>
        <v>1183011.5166000002</v>
      </c>
      <c r="J217" s="30">
        <v>887258.6374500002</v>
      </c>
    </row>
    <row r="218" spans="1:10" ht="33.75">
      <c r="A218" s="3" t="s">
        <v>561</v>
      </c>
      <c r="B218" s="8">
        <v>1</v>
      </c>
      <c r="C218" s="8">
        <v>1</v>
      </c>
      <c r="D218" s="3" t="s">
        <v>75</v>
      </c>
      <c r="E218" s="14" t="s">
        <v>76</v>
      </c>
      <c r="F218" s="3" t="s">
        <v>880</v>
      </c>
      <c r="G218" s="2" t="s">
        <v>984</v>
      </c>
      <c r="H218" s="15" t="s">
        <v>423</v>
      </c>
      <c r="I218" s="31">
        <v>135107.73</v>
      </c>
      <c r="J218" s="30">
        <v>101330.79750000002</v>
      </c>
    </row>
    <row r="219" spans="1:10" ht="33.75">
      <c r="A219" s="3" t="s">
        <v>561</v>
      </c>
      <c r="B219" s="8">
        <v>1</v>
      </c>
      <c r="C219" s="8">
        <v>1</v>
      </c>
      <c r="D219" s="3" t="s">
        <v>75</v>
      </c>
      <c r="E219" s="14" t="s">
        <v>76</v>
      </c>
      <c r="F219" s="1" t="s">
        <v>77</v>
      </c>
      <c r="G219" s="2" t="s">
        <v>984</v>
      </c>
      <c r="H219" s="15" t="s">
        <v>423</v>
      </c>
      <c r="I219" s="31">
        <v>158225.6</v>
      </c>
      <c r="J219" s="30">
        <v>118669.20000000001</v>
      </c>
    </row>
    <row r="220" spans="1:10" ht="33.75">
      <c r="A220" s="24" t="s">
        <v>561</v>
      </c>
      <c r="B220" s="6">
        <v>1</v>
      </c>
      <c r="C220" s="6">
        <v>1</v>
      </c>
      <c r="D220" s="33" t="s">
        <v>75</v>
      </c>
      <c r="E220" s="24" t="s">
        <v>76</v>
      </c>
      <c r="F220" s="24"/>
      <c r="G220" s="6"/>
      <c r="H220" s="6"/>
      <c r="I220" s="34">
        <f>SUBTOTAL(9,I217:I219)</f>
        <v>1476344.8466000003</v>
      </c>
      <c r="J220" s="34">
        <v>1107258.63495</v>
      </c>
    </row>
    <row r="221" spans="1:10" ht="45">
      <c r="A221" s="3" t="s">
        <v>562</v>
      </c>
      <c r="B221" s="8">
        <v>1</v>
      </c>
      <c r="C221" s="8">
        <v>4</v>
      </c>
      <c r="D221" s="3" t="s">
        <v>113</v>
      </c>
      <c r="E221" s="14" t="s">
        <v>718</v>
      </c>
      <c r="F221" s="5" t="s">
        <v>515</v>
      </c>
      <c r="G221" s="2" t="s">
        <v>983</v>
      </c>
      <c r="H221" s="15" t="s">
        <v>330</v>
      </c>
      <c r="I221" s="29">
        <v>300000</v>
      </c>
      <c r="J221" s="30">
        <v>225000</v>
      </c>
    </row>
    <row r="222" spans="1:10" ht="45">
      <c r="A222" s="3" t="s">
        <v>562</v>
      </c>
      <c r="B222" s="8">
        <v>1</v>
      </c>
      <c r="C222" s="8">
        <v>4</v>
      </c>
      <c r="D222" s="3" t="s">
        <v>113</v>
      </c>
      <c r="E222" s="14" t="s">
        <v>718</v>
      </c>
      <c r="F222" s="1" t="s">
        <v>713</v>
      </c>
      <c r="G222" s="2" t="s">
        <v>984</v>
      </c>
      <c r="H222" s="15" t="s">
        <v>423</v>
      </c>
      <c r="I222" s="29">
        <v>200100</v>
      </c>
      <c r="J222" s="30">
        <v>150075</v>
      </c>
    </row>
    <row r="223" spans="1:10" ht="45">
      <c r="A223" s="24" t="s">
        <v>562</v>
      </c>
      <c r="B223" s="6">
        <v>1</v>
      </c>
      <c r="C223" s="6">
        <v>4</v>
      </c>
      <c r="D223" s="33" t="s">
        <v>113</v>
      </c>
      <c r="E223" s="24" t="s">
        <v>718</v>
      </c>
      <c r="F223" s="24"/>
      <c r="G223" s="6"/>
      <c r="H223" s="6"/>
      <c r="I223" s="34">
        <f>SUBTOTAL(9,I221:I222)</f>
        <v>500100</v>
      </c>
      <c r="J223" s="34">
        <v>375075</v>
      </c>
    </row>
    <row r="224" spans="1:10" ht="67.5">
      <c r="A224" s="3" t="s">
        <v>565</v>
      </c>
      <c r="B224" s="8">
        <v>1</v>
      </c>
      <c r="C224" s="8">
        <v>1</v>
      </c>
      <c r="D224" s="3" t="s">
        <v>100</v>
      </c>
      <c r="E224" s="14" t="s">
        <v>101</v>
      </c>
      <c r="F224" s="1" t="s">
        <v>606</v>
      </c>
      <c r="G224" s="2" t="s">
        <v>984</v>
      </c>
      <c r="H224" s="15" t="s">
        <v>423</v>
      </c>
      <c r="I224" s="29">
        <v>121333</v>
      </c>
      <c r="J224" s="30">
        <v>90999.75</v>
      </c>
    </row>
    <row r="225" spans="1:10" ht="67.5">
      <c r="A225" s="3" t="s">
        <v>565</v>
      </c>
      <c r="B225" s="8">
        <v>1</v>
      </c>
      <c r="C225" s="8">
        <v>1</v>
      </c>
      <c r="D225" s="3" t="s">
        <v>100</v>
      </c>
      <c r="E225" s="14" t="s">
        <v>101</v>
      </c>
      <c r="F225" s="5" t="s">
        <v>653</v>
      </c>
      <c r="G225" s="2" t="s">
        <v>983</v>
      </c>
      <c r="H225" s="15" t="s">
        <v>330</v>
      </c>
      <c r="I225" s="29">
        <v>498389</v>
      </c>
      <c r="J225" s="30">
        <v>373791.75</v>
      </c>
    </row>
    <row r="226" spans="1:10" ht="67.5">
      <c r="A226" s="24" t="s">
        <v>565</v>
      </c>
      <c r="B226" s="6">
        <v>1</v>
      </c>
      <c r="C226" s="6">
        <v>1</v>
      </c>
      <c r="D226" s="33" t="s">
        <v>100</v>
      </c>
      <c r="E226" s="24" t="s">
        <v>101</v>
      </c>
      <c r="F226" s="24"/>
      <c r="G226" s="6"/>
      <c r="H226" s="6"/>
      <c r="I226" s="34">
        <f>SUBTOTAL(9,I224:I225)</f>
        <v>619722</v>
      </c>
      <c r="J226" s="34">
        <v>464791.5</v>
      </c>
    </row>
    <row r="227" spans="1:10" ht="33.75">
      <c r="A227" s="3" t="s">
        <v>561</v>
      </c>
      <c r="B227" s="8">
        <v>1</v>
      </c>
      <c r="C227" s="8">
        <v>4</v>
      </c>
      <c r="D227" s="3" t="s">
        <v>99</v>
      </c>
      <c r="E227" s="14" t="s">
        <v>224</v>
      </c>
      <c r="F227" s="5" t="s">
        <v>515</v>
      </c>
      <c r="G227" s="2" t="s">
        <v>983</v>
      </c>
      <c r="H227" s="15" t="s">
        <v>330</v>
      </c>
      <c r="I227" s="29">
        <f>400000-780</f>
        <v>399220</v>
      </c>
      <c r="J227" s="30">
        <v>299415</v>
      </c>
    </row>
    <row r="228" spans="1:10" ht="33.75">
      <c r="A228" s="3" t="s">
        <v>561</v>
      </c>
      <c r="B228" s="8">
        <v>1</v>
      </c>
      <c r="C228" s="8">
        <v>4</v>
      </c>
      <c r="D228" s="3" t="s">
        <v>99</v>
      </c>
      <c r="E228" s="14" t="s">
        <v>224</v>
      </c>
      <c r="F228" s="1" t="s">
        <v>533</v>
      </c>
      <c r="G228" s="2" t="s">
        <v>984</v>
      </c>
      <c r="H228" s="15" t="s">
        <v>423</v>
      </c>
      <c r="I228" s="29">
        <v>100000</v>
      </c>
      <c r="J228" s="30">
        <v>75000</v>
      </c>
    </row>
    <row r="229" spans="1:10" ht="33.75">
      <c r="A229" s="24" t="s">
        <v>561</v>
      </c>
      <c r="B229" s="6">
        <v>1</v>
      </c>
      <c r="C229" s="6">
        <v>4</v>
      </c>
      <c r="D229" s="33" t="s">
        <v>99</v>
      </c>
      <c r="E229" s="24" t="s">
        <v>224</v>
      </c>
      <c r="F229" s="24"/>
      <c r="G229" s="6"/>
      <c r="H229" s="6"/>
      <c r="I229" s="34">
        <f>SUBTOTAL(9,I227:I228)</f>
        <v>499220</v>
      </c>
      <c r="J229" s="34">
        <v>374415</v>
      </c>
    </row>
    <row r="230" spans="1:10" ht="33.75">
      <c r="A230" s="3" t="s">
        <v>562</v>
      </c>
      <c r="B230" s="8">
        <v>1</v>
      </c>
      <c r="C230" s="8">
        <v>2</v>
      </c>
      <c r="D230" s="3" t="s">
        <v>107</v>
      </c>
      <c r="E230" s="19" t="s">
        <v>108</v>
      </c>
      <c r="F230" s="1" t="s">
        <v>799</v>
      </c>
      <c r="G230" s="2" t="s">
        <v>984</v>
      </c>
      <c r="H230" s="15" t="s">
        <v>423</v>
      </c>
      <c r="I230" s="29">
        <v>100000</v>
      </c>
      <c r="J230" s="30">
        <v>75000</v>
      </c>
    </row>
    <row r="231" spans="1:10" ht="33.75">
      <c r="A231" s="3" t="s">
        <v>562</v>
      </c>
      <c r="B231" s="8">
        <v>1</v>
      </c>
      <c r="C231" s="8">
        <v>2</v>
      </c>
      <c r="D231" s="3" t="s">
        <v>107</v>
      </c>
      <c r="E231" s="19" t="s">
        <v>108</v>
      </c>
      <c r="F231" s="3" t="s">
        <v>6</v>
      </c>
      <c r="G231" s="2" t="s">
        <v>983</v>
      </c>
      <c r="H231" s="15" t="s">
        <v>423</v>
      </c>
      <c r="I231" s="29">
        <v>160000</v>
      </c>
      <c r="J231" s="30">
        <v>120000</v>
      </c>
    </row>
    <row r="232" spans="1:10" ht="33.75">
      <c r="A232" s="3" t="s">
        <v>562</v>
      </c>
      <c r="B232" s="8">
        <v>1</v>
      </c>
      <c r="C232" s="8">
        <v>2</v>
      </c>
      <c r="D232" s="3" t="s">
        <v>107</v>
      </c>
      <c r="E232" s="19" t="s">
        <v>108</v>
      </c>
      <c r="F232" s="4" t="s">
        <v>503</v>
      </c>
      <c r="G232" s="8" t="s">
        <v>983</v>
      </c>
      <c r="H232" s="15" t="s">
        <v>330</v>
      </c>
      <c r="I232" s="29">
        <v>334400</v>
      </c>
      <c r="J232" s="30">
        <v>250800</v>
      </c>
    </row>
    <row r="233" spans="1:10" ht="33.75">
      <c r="A233" s="24" t="s">
        <v>562</v>
      </c>
      <c r="B233" s="6">
        <v>1</v>
      </c>
      <c r="C233" s="6">
        <v>2</v>
      </c>
      <c r="D233" s="33" t="s">
        <v>107</v>
      </c>
      <c r="E233" s="24" t="s">
        <v>108</v>
      </c>
      <c r="F233" s="24"/>
      <c r="G233" s="6"/>
      <c r="H233" s="6"/>
      <c r="I233" s="34">
        <f>SUBTOTAL(9,I230:I232)</f>
        <v>594400</v>
      </c>
      <c r="J233" s="34">
        <v>445800</v>
      </c>
    </row>
    <row r="234" spans="1:10" ht="45">
      <c r="A234" s="3" t="s">
        <v>561</v>
      </c>
      <c r="B234" s="8">
        <v>1</v>
      </c>
      <c r="C234" s="8">
        <v>2</v>
      </c>
      <c r="D234" s="3" t="s">
        <v>83</v>
      </c>
      <c r="E234" s="14" t="s">
        <v>84</v>
      </c>
      <c r="F234" s="3" t="s">
        <v>316</v>
      </c>
      <c r="G234" s="2" t="s">
        <v>983</v>
      </c>
      <c r="H234" s="15" t="s">
        <v>423</v>
      </c>
      <c r="I234" s="29">
        <v>381080</v>
      </c>
      <c r="J234" s="30">
        <v>285810</v>
      </c>
    </row>
    <row r="235" spans="1:10" ht="45">
      <c r="A235" s="3" t="s">
        <v>561</v>
      </c>
      <c r="B235" s="8">
        <v>1</v>
      </c>
      <c r="C235" s="8">
        <v>2</v>
      </c>
      <c r="D235" s="3" t="s">
        <v>83</v>
      </c>
      <c r="E235" s="14" t="s">
        <v>84</v>
      </c>
      <c r="F235" s="5" t="s">
        <v>298</v>
      </c>
      <c r="G235" s="2" t="s">
        <v>984</v>
      </c>
      <c r="H235" s="15" t="s">
        <v>330</v>
      </c>
      <c r="I235" s="29">
        <v>426666.67</v>
      </c>
      <c r="J235" s="30">
        <v>320000.0025</v>
      </c>
    </row>
    <row r="236" spans="1:10" ht="45">
      <c r="A236" s="3" t="s">
        <v>561</v>
      </c>
      <c r="B236" s="8">
        <v>1</v>
      </c>
      <c r="C236" s="8">
        <v>2</v>
      </c>
      <c r="D236" s="3" t="s">
        <v>83</v>
      </c>
      <c r="E236" s="14" t="s">
        <v>84</v>
      </c>
      <c r="F236" s="1" t="s">
        <v>407</v>
      </c>
      <c r="G236" s="2" t="s">
        <v>984</v>
      </c>
      <c r="H236" s="15" t="s">
        <v>423</v>
      </c>
      <c r="I236" s="29">
        <v>118000</v>
      </c>
      <c r="J236" s="30">
        <v>88500</v>
      </c>
    </row>
    <row r="237" spans="1:10" ht="45">
      <c r="A237" s="3" t="s">
        <v>561</v>
      </c>
      <c r="B237" s="8">
        <v>1</v>
      </c>
      <c r="C237" s="8">
        <v>2</v>
      </c>
      <c r="D237" s="3" t="s">
        <v>83</v>
      </c>
      <c r="E237" s="14" t="s">
        <v>84</v>
      </c>
      <c r="F237" s="1" t="s">
        <v>252</v>
      </c>
      <c r="G237" s="2" t="s">
        <v>984</v>
      </c>
      <c r="H237" s="15" t="s">
        <v>423</v>
      </c>
      <c r="I237" s="29">
        <v>115333.33</v>
      </c>
      <c r="J237" s="30">
        <v>86499.9975</v>
      </c>
    </row>
    <row r="238" spans="1:10" ht="45">
      <c r="A238" s="3" t="s">
        <v>561</v>
      </c>
      <c r="B238" s="8">
        <v>1</v>
      </c>
      <c r="C238" s="8">
        <v>2</v>
      </c>
      <c r="D238" s="3" t="s">
        <v>83</v>
      </c>
      <c r="E238" s="14" t="s">
        <v>84</v>
      </c>
      <c r="F238" s="3" t="s">
        <v>317</v>
      </c>
      <c r="G238" s="2" t="s">
        <v>983</v>
      </c>
      <c r="H238" s="15" t="s">
        <v>423</v>
      </c>
      <c r="I238" s="29">
        <v>146804</v>
      </c>
      <c r="J238" s="30">
        <v>110103</v>
      </c>
    </row>
    <row r="239" spans="1:10" ht="45">
      <c r="A239" s="3" t="s">
        <v>561</v>
      </c>
      <c r="B239" s="8">
        <v>1</v>
      </c>
      <c r="C239" s="8">
        <v>2</v>
      </c>
      <c r="D239" s="3" t="s">
        <v>83</v>
      </c>
      <c r="E239" s="14" t="s">
        <v>84</v>
      </c>
      <c r="F239" s="3" t="s">
        <v>315</v>
      </c>
      <c r="G239" s="2" t="s">
        <v>983</v>
      </c>
      <c r="H239" s="15" t="s">
        <v>423</v>
      </c>
      <c r="I239" s="29">
        <v>390884</v>
      </c>
      <c r="J239" s="30">
        <v>293163</v>
      </c>
    </row>
    <row r="240" spans="1:10" ht="45">
      <c r="A240" s="3" t="s">
        <v>561</v>
      </c>
      <c r="B240" s="8">
        <v>1</v>
      </c>
      <c r="C240" s="8">
        <v>2</v>
      </c>
      <c r="D240" s="3" t="s">
        <v>83</v>
      </c>
      <c r="E240" s="14" t="s">
        <v>84</v>
      </c>
      <c r="F240" s="3" t="s">
        <v>802</v>
      </c>
      <c r="G240" s="2" t="s">
        <v>983</v>
      </c>
      <c r="H240" s="15" t="s">
        <v>423</v>
      </c>
      <c r="I240" s="29">
        <v>185536</v>
      </c>
      <c r="J240" s="30">
        <v>139152</v>
      </c>
    </row>
    <row r="241" spans="1:10" ht="45">
      <c r="A241" s="24" t="s">
        <v>561</v>
      </c>
      <c r="B241" s="6">
        <v>1</v>
      </c>
      <c r="C241" s="6">
        <v>2</v>
      </c>
      <c r="D241" s="33" t="s">
        <v>83</v>
      </c>
      <c r="E241" s="24" t="s">
        <v>84</v>
      </c>
      <c r="F241" s="24"/>
      <c r="G241" s="6"/>
      <c r="H241" s="6"/>
      <c r="I241" s="34">
        <f>SUBTOTAL(9,I234:I240)</f>
        <v>1764304</v>
      </c>
      <c r="J241" s="34">
        <v>1323228</v>
      </c>
    </row>
    <row r="242" spans="1:10" ht="33.75">
      <c r="A242" s="3" t="s">
        <v>561</v>
      </c>
      <c r="B242" s="8">
        <v>1</v>
      </c>
      <c r="C242" s="8">
        <v>2</v>
      </c>
      <c r="D242" s="3" t="s">
        <v>85</v>
      </c>
      <c r="E242" s="14" t="s">
        <v>86</v>
      </c>
      <c r="F242" s="5" t="s">
        <v>87</v>
      </c>
      <c r="G242" s="8" t="s">
        <v>984</v>
      </c>
      <c r="H242" s="15" t="s">
        <v>330</v>
      </c>
      <c r="I242" s="29">
        <v>172940</v>
      </c>
      <c r="J242" s="30">
        <v>129705</v>
      </c>
    </row>
    <row r="243" spans="1:10" ht="33.75">
      <c r="A243" s="3" t="s">
        <v>561</v>
      </c>
      <c r="B243" s="8">
        <v>1</v>
      </c>
      <c r="C243" s="8">
        <v>2</v>
      </c>
      <c r="D243" s="3" t="s">
        <v>85</v>
      </c>
      <c r="E243" s="14" t="s">
        <v>86</v>
      </c>
      <c r="F243" s="1" t="s">
        <v>410</v>
      </c>
      <c r="G243" s="2" t="s">
        <v>984</v>
      </c>
      <c r="H243" s="15" t="s">
        <v>423</v>
      </c>
      <c r="I243" s="29">
        <v>411433</v>
      </c>
      <c r="J243" s="30">
        <v>308574.75</v>
      </c>
    </row>
    <row r="244" spans="1:10" ht="33.75">
      <c r="A244" s="3" t="s">
        <v>561</v>
      </c>
      <c r="B244" s="8">
        <v>1</v>
      </c>
      <c r="C244" s="8">
        <v>2</v>
      </c>
      <c r="D244" s="3" t="s">
        <v>85</v>
      </c>
      <c r="E244" s="14" t="s">
        <v>86</v>
      </c>
      <c r="F244" s="1" t="s">
        <v>507</v>
      </c>
      <c r="G244" s="2" t="s">
        <v>984</v>
      </c>
      <c r="H244" s="15" t="s">
        <v>423</v>
      </c>
      <c r="I244" s="29">
        <v>102200</v>
      </c>
      <c r="J244" s="30">
        <v>76650</v>
      </c>
    </row>
    <row r="245" spans="1:10" ht="33.75">
      <c r="A245" s="3" t="s">
        <v>561</v>
      </c>
      <c r="B245" s="8">
        <v>1</v>
      </c>
      <c r="C245" s="8">
        <v>2</v>
      </c>
      <c r="D245" s="3" t="s">
        <v>85</v>
      </c>
      <c r="E245" s="14" t="s">
        <v>86</v>
      </c>
      <c r="F245" s="1" t="s">
        <v>533</v>
      </c>
      <c r="G245" s="2" t="s">
        <v>984</v>
      </c>
      <c r="H245" s="15" t="s">
        <v>423</v>
      </c>
      <c r="I245" s="29">
        <v>100000</v>
      </c>
      <c r="J245" s="30">
        <v>75000</v>
      </c>
    </row>
    <row r="246" spans="1:10" ht="33.75">
      <c r="A246" s="3" t="s">
        <v>561</v>
      </c>
      <c r="B246" s="8">
        <v>1</v>
      </c>
      <c r="C246" s="8">
        <v>2</v>
      </c>
      <c r="D246" s="3" t="s">
        <v>85</v>
      </c>
      <c r="E246" s="14" t="s">
        <v>86</v>
      </c>
      <c r="F246" s="1" t="s">
        <v>653</v>
      </c>
      <c r="G246" s="2" t="s">
        <v>983</v>
      </c>
      <c r="H246" s="15" t="s">
        <v>423</v>
      </c>
      <c r="I246" s="29">
        <v>326000</v>
      </c>
      <c r="J246" s="30">
        <v>244500</v>
      </c>
    </row>
    <row r="247" spans="1:10" ht="33.75">
      <c r="A247" s="24" t="s">
        <v>561</v>
      </c>
      <c r="B247" s="6">
        <v>1</v>
      </c>
      <c r="C247" s="6">
        <v>2</v>
      </c>
      <c r="D247" s="33" t="s">
        <v>85</v>
      </c>
      <c r="E247" s="24" t="s">
        <v>86</v>
      </c>
      <c r="F247" s="24"/>
      <c r="G247" s="6"/>
      <c r="H247" s="6"/>
      <c r="I247" s="34">
        <f>SUBTOTAL(9,I242:I246)</f>
        <v>1112573</v>
      </c>
      <c r="J247" s="34">
        <v>834429.75</v>
      </c>
    </row>
    <row r="248" spans="1:10" ht="33.75">
      <c r="A248" s="3" t="s">
        <v>807</v>
      </c>
      <c r="B248" s="8">
        <v>1</v>
      </c>
      <c r="C248" s="8">
        <v>1</v>
      </c>
      <c r="D248" s="3" t="s">
        <v>30</v>
      </c>
      <c r="E248" s="14" t="s">
        <v>31</v>
      </c>
      <c r="F248" s="5" t="s">
        <v>341</v>
      </c>
      <c r="G248" s="8" t="s">
        <v>983</v>
      </c>
      <c r="H248" s="15" t="s">
        <v>330</v>
      </c>
      <c r="I248" s="29">
        <v>396454.37</v>
      </c>
      <c r="J248" s="30">
        <v>297340.77749999997</v>
      </c>
    </row>
    <row r="249" spans="1:10" ht="33.75">
      <c r="A249" s="3" t="s">
        <v>807</v>
      </c>
      <c r="B249" s="8">
        <v>1</v>
      </c>
      <c r="C249" s="8">
        <v>1</v>
      </c>
      <c r="D249" s="3" t="s">
        <v>30</v>
      </c>
      <c r="E249" s="14" t="s">
        <v>31</v>
      </c>
      <c r="F249" s="1" t="s">
        <v>32</v>
      </c>
      <c r="G249" s="8" t="s">
        <v>984</v>
      </c>
      <c r="H249" s="15" t="s">
        <v>423</v>
      </c>
      <c r="I249" s="29">
        <v>166656.67</v>
      </c>
      <c r="J249" s="30">
        <v>124992.5025</v>
      </c>
    </row>
    <row r="250" spans="1:10" ht="33.75">
      <c r="A250" s="3" t="s">
        <v>807</v>
      </c>
      <c r="B250" s="8">
        <v>1</v>
      </c>
      <c r="C250" s="8">
        <v>1</v>
      </c>
      <c r="D250" s="3" t="s">
        <v>30</v>
      </c>
      <c r="E250" s="14" t="s">
        <v>31</v>
      </c>
      <c r="F250" s="3" t="s">
        <v>33</v>
      </c>
      <c r="G250" s="8" t="s">
        <v>983</v>
      </c>
      <c r="H250" s="15" t="s">
        <v>423</v>
      </c>
      <c r="I250" s="29">
        <v>157928.67</v>
      </c>
      <c r="J250" s="30">
        <v>118446.5025</v>
      </c>
    </row>
    <row r="251" spans="1:10" ht="33.75">
      <c r="A251" s="3" t="s">
        <v>807</v>
      </c>
      <c r="B251" s="8">
        <v>1</v>
      </c>
      <c r="C251" s="8">
        <v>1</v>
      </c>
      <c r="D251" s="3" t="s">
        <v>30</v>
      </c>
      <c r="E251" s="14" t="s">
        <v>31</v>
      </c>
      <c r="F251" s="1" t="s">
        <v>212</v>
      </c>
      <c r="G251" s="8" t="s">
        <v>983</v>
      </c>
      <c r="H251" s="15" t="s">
        <v>423</v>
      </c>
      <c r="I251" s="29">
        <v>210653.97</v>
      </c>
      <c r="J251" s="30">
        <v>157990.4775</v>
      </c>
    </row>
    <row r="252" spans="1:10" ht="33.75">
      <c r="A252" s="24" t="s">
        <v>807</v>
      </c>
      <c r="B252" s="6">
        <v>1</v>
      </c>
      <c r="C252" s="6">
        <v>1</v>
      </c>
      <c r="D252" s="33" t="s">
        <v>30</v>
      </c>
      <c r="E252" s="24" t="s">
        <v>31</v>
      </c>
      <c r="F252" s="24"/>
      <c r="G252" s="6"/>
      <c r="H252" s="6"/>
      <c r="I252" s="34">
        <f>SUBTOTAL(9,I248:I251)</f>
        <v>931693.68</v>
      </c>
      <c r="J252" s="34">
        <v>698770.26</v>
      </c>
    </row>
    <row r="253" spans="1:10" ht="33.75">
      <c r="A253" s="3" t="s">
        <v>807</v>
      </c>
      <c r="B253" s="8">
        <v>1</v>
      </c>
      <c r="C253" s="8">
        <v>2</v>
      </c>
      <c r="D253" s="3" t="s">
        <v>36</v>
      </c>
      <c r="E253" s="14" t="s">
        <v>37</v>
      </c>
      <c r="F253" s="1" t="s">
        <v>424</v>
      </c>
      <c r="G253" s="2" t="s">
        <v>984</v>
      </c>
      <c r="H253" s="15" t="s">
        <v>423</v>
      </c>
      <c r="I253" s="29">
        <v>325720</v>
      </c>
      <c r="J253" s="30">
        <v>244290</v>
      </c>
    </row>
    <row r="254" spans="1:10" ht="33.75">
      <c r="A254" s="3" t="s">
        <v>807</v>
      </c>
      <c r="B254" s="8">
        <v>1</v>
      </c>
      <c r="C254" s="8">
        <v>2</v>
      </c>
      <c r="D254" s="3" t="s">
        <v>36</v>
      </c>
      <c r="E254" s="14" t="s">
        <v>37</v>
      </c>
      <c r="F254" s="5" t="s">
        <v>994</v>
      </c>
      <c r="G254" s="2" t="s">
        <v>983</v>
      </c>
      <c r="H254" s="15" t="s">
        <v>330</v>
      </c>
      <c r="I254" s="29">
        <v>1701764.2</v>
      </c>
      <c r="J254" s="30">
        <v>1276323.15</v>
      </c>
    </row>
    <row r="255" spans="1:10" ht="33.75">
      <c r="A255" s="24" t="s">
        <v>807</v>
      </c>
      <c r="B255" s="6">
        <v>1</v>
      </c>
      <c r="C255" s="6">
        <v>2</v>
      </c>
      <c r="D255" s="33" t="s">
        <v>36</v>
      </c>
      <c r="E255" s="24" t="s">
        <v>37</v>
      </c>
      <c r="F255" s="24"/>
      <c r="G255" s="6"/>
      <c r="H255" s="6"/>
      <c r="I255" s="34">
        <f>SUBTOTAL(9,I253:I254)</f>
        <v>2027484.2</v>
      </c>
      <c r="J255" s="34">
        <v>1520613.15</v>
      </c>
    </row>
    <row r="256" spans="1:10" ht="22.5">
      <c r="A256" s="3" t="s">
        <v>807</v>
      </c>
      <c r="B256" s="8">
        <v>1</v>
      </c>
      <c r="C256" s="8">
        <v>4</v>
      </c>
      <c r="D256" s="3" t="s">
        <v>62</v>
      </c>
      <c r="E256" s="19" t="s">
        <v>381</v>
      </c>
      <c r="F256" s="12" t="s">
        <v>636</v>
      </c>
      <c r="G256" s="8" t="s">
        <v>984</v>
      </c>
      <c r="H256" s="15" t="s">
        <v>423</v>
      </c>
      <c r="I256" s="31">
        <v>100000</v>
      </c>
      <c r="J256" s="30">
        <v>75000</v>
      </c>
    </row>
    <row r="257" spans="1:10" ht="22.5">
      <c r="A257" s="3" t="s">
        <v>807</v>
      </c>
      <c r="B257" s="8">
        <v>1</v>
      </c>
      <c r="C257" s="8">
        <v>4</v>
      </c>
      <c r="D257" s="3" t="s">
        <v>62</v>
      </c>
      <c r="E257" s="19" t="s">
        <v>381</v>
      </c>
      <c r="F257" s="1" t="s">
        <v>995</v>
      </c>
      <c r="G257" s="2" t="s">
        <v>984</v>
      </c>
      <c r="H257" s="15" t="s">
        <v>423</v>
      </c>
      <c r="I257" s="31">
        <v>100000</v>
      </c>
      <c r="J257" s="30">
        <v>75000</v>
      </c>
    </row>
    <row r="258" spans="1:10" ht="22.5">
      <c r="A258" s="3" t="s">
        <v>807</v>
      </c>
      <c r="B258" s="8">
        <v>1</v>
      </c>
      <c r="C258" s="8">
        <v>4</v>
      </c>
      <c r="D258" s="3" t="s">
        <v>62</v>
      </c>
      <c r="E258" s="19" t="s">
        <v>381</v>
      </c>
      <c r="F258" s="4" t="s">
        <v>734</v>
      </c>
      <c r="G258" s="8" t="s">
        <v>983</v>
      </c>
      <c r="H258" s="15" t="s">
        <v>330</v>
      </c>
      <c r="I258" s="31">
        <v>300000</v>
      </c>
      <c r="J258" s="30">
        <v>225000</v>
      </c>
    </row>
    <row r="259" spans="1:10" ht="22.5">
      <c r="A259" s="24" t="s">
        <v>807</v>
      </c>
      <c r="B259" s="6">
        <v>1</v>
      </c>
      <c r="C259" s="6">
        <v>4</v>
      </c>
      <c r="D259" s="33" t="s">
        <v>62</v>
      </c>
      <c r="E259" s="24" t="s">
        <v>381</v>
      </c>
      <c r="F259" s="24"/>
      <c r="G259" s="6"/>
      <c r="H259" s="6"/>
      <c r="I259" s="34">
        <f>SUBTOTAL(9,I256:I258)</f>
        <v>500000</v>
      </c>
      <c r="J259" s="34">
        <v>375000</v>
      </c>
    </row>
    <row r="260" spans="1:10" ht="33.75">
      <c r="A260" s="3" t="s">
        <v>807</v>
      </c>
      <c r="B260" s="8">
        <v>1</v>
      </c>
      <c r="C260" s="8">
        <v>2</v>
      </c>
      <c r="D260" s="3" t="s">
        <v>38</v>
      </c>
      <c r="E260" s="14" t="s">
        <v>39</v>
      </c>
      <c r="F260" s="5" t="s">
        <v>257</v>
      </c>
      <c r="G260" s="2" t="s">
        <v>983</v>
      </c>
      <c r="H260" s="15" t="s">
        <v>330</v>
      </c>
      <c r="I260" s="29">
        <v>1000000</v>
      </c>
      <c r="J260" s="30">
        <v>750000</v>
      </c>
    </row>
    <row r="261" spans="1:10" ht="33.75">
      <c r="A261" s="3" t="s">
        <v>807</v>
      </c>
      <c r="B261" s="8">
        <v>1</v>
      </c>
      <c r="C261" s="8">
        <v>2</v>
      </c>
      <c r="D261" s="3" t="s">
        <v>38</v>
      </c>
      <c r="E261" s="14" t="s">
        <v>39</v>
      </c>
      <c r="F261" s="1" t="s">
        <v>393</v>
      </c>
      <c r="G261" s="2" t="s">
        <v>984</v>
      </c>
      <c r="H261" s="15" t="s">
        <v>423</v>
      </c>
      <c r="I261" s="29">
        <v>100000</v>
      </c>
      <c r="J261" s="30">
        <v>75000</v>
      </c>
    </row>
    <row r="262" spans="1:10" ht="33.75">
      <c r="A262" s="3" t="s">
        <v>807</v>
      </c>
      <c r="B262" s="8">
        <v>1</v>
      </c>
      <c r="C262" s="8">
        <v>2</v>
      </c>
      <c r="D262" s="3" t="s">
        <v>38</v>
      </c>
      <c r="E262" s="14" t="s">
        <v>39</v>
      </c>
      <c r="F262" s="1" t="s">
        <v>336</v>
      </c>
      <c r="G262" s="8" t="s">
        <v>984</v>
      </c>
      <c r="H262" s="15" t="s">
        <v>423</v>
      </c>
      <c r="I262" s="29">
        <v>129333.34</v>
      </c>
      <c r="J262" s="30">
        <v>97000.005</v>
      </c>
    </row>
    <row r="263" spans="1:10" ht="33.75">
      <c r="A263" s="3" t="s">
        <v>807</v>
      </c>
      <c r="B263" s="8">
        <v>1</v>
      </c>
      <c r="C263" s="8">
        <v>2</v>
      </c>
      <c r="D263" s="3" t="s">
        <v>38</v>
      </c>
      <c r="E263" s="14" t="s">
        <v>39</v>
      </c>
      <c r="F263" s="1" t="s">
        <v>40</v>
      </c>
      <c r="G263" s="2" t="s">
        <v>984</v>
      </c>
      <c r="H263" s="15" t="s">
        <v>423</v>
      </c>
      <c r="I263" s="29">
        <v>121000</v>
      </c>
      <c r="J263" s="30">
        <v>90750</v>
      </c>
    </row>
    <row r="264" spans="1:10" ht="33.75">
      <c r="A264" s="3" t="s">
        <v>807</v>
      </c>
      <c r="B264" s="8">
        <v>1</v>
      </c>
      <c r="C264" s="8">
        <v>2</v>
      </c>
      <c r="D264" s="3" t="s">
        <v>38</v>
      </c>
      <c r="E264" s="14" t="s">
        <v>39</v>
      </c>
      <c r="F264" s="1" t="s">
        <v>387</v>
      </c>
      <c r="G264" s="2" t="s">
        <v>984</v>
      </c>
      <c r="H264" s="15" t="s">
        <v>423</v>
      </c>
      <c r="I264" s="29">
        <v>100000</v>
      </c>
      <c r="J264" s="30">
        <v>75000</v>
      </c>
    </row>
    <row r="265" spans="1:10" ht="33.75">
      <c r="A265" s="3" t="s">
        <v>807</v>
      </c>
      <c r="B265" s="8">
        <v>1</v>
      </c>
      <c r="C265" s="8">
        <v>2</v>
      </c>
      <c r="D265" s="3" t="s">
        <v>38</v>
      </c>
      <c r="E265" s="14" t="s">
        <v>39</v>
      </c>
      <c r="F265" s="1" t="s">
        <v>647</v>
      </c>
      <c r="G265" s="8" t="s">
        <v>984</v>
      </c>
      <c r="H265" s="15" t="s">
        <v>423</v>
      </c>
      <c r="I265" s="29">
        <v>279358.93</v>
      </c>
      <c r="J265" s="30">
        <v>209519.1975</v>
      </c>
    </row>
    <row r="266" spans="1:10" ht="33.75">
      <c r="A266" s="24" t="s">
        <v>807</v>
      </c>
      <c r="B266" s="6">
        <v>1</v>
      </c>
      <c r="C266" s="6">
        <v>2</v>
      </c>
      <c r="D266" s="33" t="s">
        <v>38</v>
      </c>
      <c r="E266" s="24" t="s">
        <v>39</v>
      </c>
      <c r="F266" s="24"/>
      <c r="G266" s="6"/>
      <c r="H266" s="6"/>
      <c r="I266" s="34">
        <f>SUBTOTAL(9,I260:I265)</f>
        <v>1729692.27</v>
      </c>
      <c r="J266" s="34">
        <v>1297269.2025</v>
      </c>
    </row>
    <row r="267" spans="1:10" ht="22.5">
      <c r="A267" s="3" t="s">
        <v>807</v>
      </c>
      <c r="B267" s="8">
        <v>1</v>
      </c>
      <c r="C267" s="8">
        <v>1</v>
      </c>
      <c r="D267" s="3" t="s">
        <v>34</v>
      </c>
      <c r="E267" s="14" t="s">
        <v>35</v>
      </c>
      <c r="F267" s="4" t="s">
        <v>869</v>
      </c>
      <c r="G267" s="2" t="s">
        <v>983</v>
      </c>
      <c r="H267" s="15" t="s">
        <v>330</v>
      </c>
      <c r="I267" s="29">
        <v>1313080</v>
      </c>
      <c r="J267" s="30">
        <v>984810</v>
      </c>
    </row>
    <row r="268" spans="1:10" ht="22.5">
      <c r="A268" s="3" t="s">
        <v>807</v>
      </c>
      <c r="B268" s="8">
        <v>1</v>
      </c>
      <c r="C268" s="8">
        <v>1</v>
      </c>
      <c r="D268" s="3" t="s">
        <v>34</v>
      </c>
      <c r="E268" s="14" t="s">
        <v>35</v>
      </c>
      <c r="F268" s="1" t="s">
        <v>329</v>
      </c>
      <c r="G268" s="2" t="s">
        <v>984</v>
      </c>
      <c r="H268" s="15" t="s">
        <v>423</v>
      </c>
      <c r="I268" s="29">
        <v>402666.67</v>
      </c>
      <c r="J268" s="30">
        <v>302000.0025</v>
      </c>
    </row>
    <row r="269" spans="1:10" ht="22.5">
      <c r="A269" s="24" t="s">
        <v>807</v>
      </c>
      <c r="B269" s="6">
        <v>1</v>
      </c>
      <c r="C269" s="6">
        <v>1</v>
      </c>
      <c r="D269" s="33" t="s">
        <v>34</v>
      </c>
      <c r="E269" s="24" t="s">
        <v>35</v>
      </c>
      <c r="F269" s="24"/>
      <c r="G269" s="6"/>
      <c r="H269" s="6"/>
      <c r="I269" s="34">
        <f>SUBTOTAL(9,I267:I268)</f>
        <v>1715746.67</v>
      </c>
      <c r="J269" s="34">
        <v>1286810.0025</v>
      </c>
    </row>
    <row r="270" spans="1:10" ht="33.75">
      <c r="A270" s="3" t="s">
        <v>807</v>
      </c>
      <c r="B270" s="8">
        <v>1</v>
      </c>
      <c r="C270" s="8">
        <v>2</v>
      </c>
      <c r="D270" s="3" t="s">
        <v>41</v>
      </c>
      <c r="E270" s="14" t="s">
        <v>42</v>
      </c>
      <c r="F270" s="1" t="s">
        <v>258</v>
      </c>
      <c r="G270" s="8" t="s">
        <v>984</v>
      </c>
      <c r="H270" s="15" t="s">
        <v>423</v>
      </c>
      <c r="I270" s="29">
        <f>153302.53+13090.88</f>
        <v>166393.41</v>
      </c>
      <c r="J270" s="30">
        <v>124795.0575</v>
      </c>
    </row>
    <row r="271" spans="1:10" ht="33.75">
      <c r="A271" s="3" t="s">
        <v>807</v>
      </c>
      <c r="B271" s="8">
        <v>1</v>
      </c>
      <c r="C271" s="8">
        <v>2</v>
      </c>
      <c r="D271" s="3" t="s">
        <v>41</v>
      </c>
      <c r="E271" s="14" t="s">
        <v>42</v>
      </c>
      <c r="F271" s="5" t="s">
        <v>257</v>
      </c>
      <c r="G271" s="2" t="s">
        <v>983</v>
      </c>
      <c r="H271" s="15" t="s">
        <v>330</v>
      </c>
      <c r="I271" s="29">
        <v>1500000</v>
      </c>
      <c r="J271" s="30">
        <v>1125000</v>
      </c>
    </row>
    <row r="272" spans="1:10" ht="33.75">
      <c r="A272" s="3" t="s">
        <v>807</v>
      </c>
      <c r="B272" s="8">
        <v>1</v>
      </c>
      <c r="C272" s="8">
        <v>2</v>
      </c>
      <c r="D272" s="3" t="s">
        <v>41</v>
      </c>
      <c r="E272" s="14" t="s">
        <v>42</v>
      </c>
      <c r="F272" s="1" t="s">
        <v>387</v>
      </c>
      <c r="G272" s="2" t="s">
        <v>984</v>
      </c>
      <c r="H272" s="15" t="s">
        <v>423</v>
      </c>
      <c r="I272" s="29">
        <v>400000</v>
      </c>
      <c r="J272" s="30">
        <v>300000</v>
      </c>
    </row>
    <row r="273" spans="1:10" ht="33.75">
      <c r="A273" s="24" t="s">
        <v>807</v>
      </c>
      <c r="B273" s="6">
        <v>1</v>
      </c>
      <c r="C273" s="6">
        <v>2</v>
      </c>
      <c r="D273" s="33" t="s">
        <v>41</v>
      </c>
      <c r="E273" s="24" t="s">
        <v>42</v>
      </c>
      <c r="F273" s="24"/>
      <c r="G273" s="6"/>
      <c r="H273" s="6"/>
      <c r="I273" s="34">
        <f>SUBTOTAL(9,I270:I272)</f>
        <v>2066393.41</v>
      </c>
      <c r="J273" s="34">
        <v>1549795.0575</v>
      </c>
    </row>
    <row r="274" spans="1:10" ht="33.75">
      <c r="A274" s="3" t="s">
        <v>561</v>
      </c>
      <c r="B274" s="8">
        <v>1</v>
      </c>
      <c r="C274" s="8">
        <v>3</v>
      </c>
      <c r="D274" s="3" t="s">
        <v>93</v>
      </c>
      <c r="E274" s="14" t="s">
        <v>94</v>
      </c>
      <c r="F274" s="4" t="s">
        <v>402</v>
      </c>
      <c r="G274" s="2" t="s">
        <v>983</v>
      </c>
      <c r="H274" s="15" t="s">
        <v>330</v>
      </c>
      <c r="I274" s="31" t="e">
        <f>H274/0.75</f>
        <v>#VALUE!</v>
      </c>
      <c r="J274" s="30">
        <v>1083245.53</v>
      </c>
    </row>
    <row r="275" spans="1:10" ht="33.75">
      <c r="A275" s="3" t="s">
        <v>561</v>
      </c>
      <c r="B275" s="8">
        <v>1</v>
      </c>
      <c r="C275" s="8">
        <v>3</v>
      </c>
      <c r="D275" s="3" t="s">
        <v>93</v>
      </c>
      <c r="E275" s="14" t="s">
        <v>94</v>
      </c>
      <c r="F275" s="1" t="s">
        <v>297</v>
      </c>
      <c r="G275" s="2" t="s">
        <v>984</v>
      </c>
      <c r="H275" s="15" t="s">
        <v>423</v>
      </c>
      <c r="I275" s="31" t="e">
        <f>H275/0.75</f>
        <v>#VALUE!</v>
      </c>
      <c r="J275" s="30">
        <v>70900</v>
      </c>
    </row>
    <row r="276" spans="1:10" ht="33.75">
      <c r="A276" s="3" t="s">
        <v>561</v>
      </c>
      <c r="B276" s="8">
        <v>1</v>
      </c>
      <c r="C276" s="8">
        <v>3</v>
      </c>
      <c r="D276" s="3" t="s">
        <v>93</v>
      </c>
      <c r="E276" s="14" t="s">
        <v>94</v>
      </c>
      <c r="F276" s="1" t="s">
        <v>404</v>
      </c>
      <c r="G276" s="2" t="s">
        <v>984</v>
      </c>
      <c r="H276" s="15" t="s">
        <v>423</v>
      </c>
      <c r="I276" s="31" t="e">
        <f>H276/0.75</f>
        <v>#VALUE!</v>
      </c>
      <c r="J276" s="30">
        <v>129762.29999999999</v>
      </c>
    </row>
    <row r="277" spans="1:10" ht="33.75">
      <c r="A277" s="3" t="s">
        <v>561</v>
      </c>
      <c r="B277" s="8">
        <v>1</v>
      </c>
      <c r="C277" s="8">
        <v>3</v>
      </c>
      <c r="D277" s="3" t="s">
        <v>93</v>
      </c>
      <c r="E277" s="14" t="s">
        <v>94</v>
      </c>
      <c r="F277" s="1" t="s">
        <v>594</v>
      </c>
      <c r="G277" s="2" t="s">
        <v>984</v>
      </c>
      <c r="H277" s="15" t="s">
        <v>423</v>
      </c>
      <c r="I277" s="31" t="e">
        <f>H277/0.75</f>
        <v>#VALUE!</v>
      </c>
      <c r="J277" s="30">
        <v>172596.165</v>
      </c>
    </row>
    <row r="278" spans="1:10" ht="33.75">
      <c r="A278" s="24" t="s">
        <v>561</v>
      </c>
      <c r="B278" s="6">
        <v>1</v>
      </c>
      <c r="C278" s="6">
        <v>3</v>
      </c>
      <c r="D278" s="33" t="s">
        <v>93</v>
      </c>
      <c r="E278" s="24" t="s">
        <v>94</v>
      </c>
      <c r="F278" s="24"/>
      <c r="G278" s="6"/>
      <c r="H278" s="6"/>
      <c r="I278" s="34" t="e">
        <f>SUBTOTAL(9,I274:I277)</f>
        <v>#VALUE!</v>
      </c>
      <c r="J278" s="34">
        <v>1456503.995</v>
      </c>
    </row>
    <row r="279" spans="1:10" ht="33.75">
      <c r="A279" s="3" t="s">
        <v>561</v>
      </c>
      <c r="B279" s="8">
        <v>1</v>
      </c>
      <c r="C279" s="8">
        <v>3</v>
      </c>
      <c r="D279" s="3" t="s">
        <v>95</v>
      </c>
      <c r="E279" s="14" t="s">
        <v>96</v>
      </c>
      <c r="F279" s="4" t="s">
        <v>402</v>
      </c>
      <c r="G279" s="2" t="s">
        <v>983</v>
      </c>
      <c r="H279" s="15" t="s">
        <v>330</v>
      </c>
      <c r="I279" s="31">
        <f>1333333.33+694046.97</f>
        <v>2027380.3</v>
      </c>
      <c r="J279" s="30">
        <v>1520535.225</v>
      </c>
    </row>
    <row r="280" spans="1:10" ht="33.75">
      <c r="A280" s="3" t="s">
        <v>561</v>
      </c>
      <c r="B280" s="8">
        <v>1</v>
      </c>
      <c r="C280" s="8">
        <v>3</v>
      </c>
      <c r="D280" s="3" t="s">
        <v>95</v>
      </c>
      <c r="E280" s="14" t="s">
        <v>96</v>
      </c>
      <c r="F280" s="1" t="s">
        <v>298</v>
      </c>
      <c r="G280" s="2" t="s">
        <v>984</v>
      </c>
      <c r="H280" s="15" t="s">
        <v>423</v>
      </c>
      <c r="I280" s="31">
        <v>186666.6666</v>
      </c>
      <c r="J280" s="30">
        <v>139999.99995</v>
      </c>
    </row>
    <row r="281" spans="1:10" ht="33.75">
      <c r="A281" s="3" t="s">
        <v>561</v>
      </c>
      <c r="B281" s="8">
        <v>1</v>
      </c>
      <c r="C281" s="8">
        <v>3</v>
      </c>
      <c r="D281" s="3" t="s">
        <v>95</v>
      </c>
      <c r="E281" s="14" t="s">
        <v>96</v>
      </c>
      <c r="F281" s="1" t="s">
        <v>407</v>
      </c>
      <c r="G281" s="2" t="s">
        <v>984</v>
      </c>
      <c r="H281" s="15" t="s">
        <v>423</v>
      </c>
      <c r="I281" s="31">
        <v>136000</v>
      </c>
      <c r="J281" s="30">
        <v>102000</v>
      </c>
    </row>
    <row r="282" spans="1:10" ht="33.75">
      <c r="A282" s="24" t="s">
        <v>561</v>
      </c>
      <c r="B282" s="6">
        <v>1</v>
      </c>
      <c r="C282" s="6">
        <v>3</v>
      </c>
      <c r="D282" s="33" t="s">
        <v>95</v>
      </c>
      <c r="E282" s="24" t="s">
        <v>96</v>
      </c>
      <c r="F282" s="24"/>
      <c r="G282" s="6"/>
      <c r="H282" s="6"/>
      <c r="I282" s="34">
        <f>SUBTOTAL(9,I279:I281)</f>
        <v>2350046.9666</v>
      </c>
      <c r="J282" s="34">
        <v>1762535.2249500002</v>
      </c>
    </row>
    <row r="283" spans="1:10" ht="33.75">
      <c r="A283" s="3" t="s">
        <v>561</v>
      </c>
      <c r="B283" s="8">
        <v>1</v>
      </c>
      <c r="C283" s="8">
        <v>1</v>
      </c>
      <c r="D283" s="3" t="s">
        <v>78</v>
      </c>
      <c r="E283" s="14" t="s">
        <v>79</v>
      </c>
      <c r="F283" s="4" t="s">
        <v>402</v>
      </c>
      <c r="G283" s="2" t="s">
        <v>983</v>
      </c>
      <c r="H283" s="15" t="s">
        <v>330</v>
      </c>
      <c r="I283" s="31">
        <v>973333.33</v>
      </c>
      <c r="J283" s="30">
        <v>729999.9974999999</v>
      </c>
    </row>
    <row r="284" spans="1:10" ht="33.75">
      <c r="A284" s="3" t="s">
        <v>561</v>
      </c>
      <c r="B284" s="8">
        <v>1</v>
      </c>
      <c r="C284" s="8">
        <v>1</v>
      </c>
      <c r="D284" s="3" t="s">
        <v>78</v>
      </c>
      <c r="E284" s="14" t="s">
        <v>79</v>
      </c>
      <c r="F284" s="1" t="s">
        <v>298</v>
      </c>
      <c r="G284" s="2" t="s">
        <v>984</v>
      </c>
      <c r="H284" s="15" t="s">
        <v>423</v>
      </c>
      <c r="I284" s="31">
        <v>173333.33</v>
      </c>
      <c r="J284" s="30">
        <v>129999.9975</v>
      </c>
    </row>
    <row r="285" spans="1:10" ht="33.75">
      <c r="A285" s="3" t="s">
        <v>561</v>
      </c>
      <c r="B285" s="8">
        <v>1</v>
      </c>
      <c r="C285" s="8">
        <v>1</v>
      </c>
      <c r="D285" s="3" t="s">
        <v>78</v>
      </c>
      <c r="E285" s="14" t="s">
        <v>79</v>
      </c>
      <c r="F285" s="1" t="s">
        <v>297</v>
      </c>
      <c r="G285" s="2" t="s">
        <v>984</v>
      </c>
      <c r="H285" s="15" t="s">
        <v>423</v>
      </c>
      <c r="I285" s="31">
        <v>136000</v>
      </c>
      <c r="J285" s="30">
        <v>102000</v>
      </c>
    </row>
    <row r="286" spans="1:10" ht="33.75">
      <c r="A286" s="3" t="s">
        <v>561</v>
      </c>
      <c r="B286" s="8">
        <v>1</v>
      </c>
      <c r="C286" s="8">
        <v>1</v>
      </c>
      <c r="D286" s="3" t="s">
        <v>78</v>
      </c>
      <c r="E286" s="14" t="s">
        <v>79</v>
      </c>
      <c r="F286" s="1" t="s">
        <v>407</v>
      </c>
      <c r="G286" s="2" t="s">
        <v>984</v>
      </c>
      <c r="H286" s="15" t="s">
        <v>423</v>
      </c>
      <c r="I286" s="31">
        <v>200000</v>
      </c>
      <c r="J286" s="30">
        <v>150000</v>
      </c>
    </row>
    <row r="287" spans="1:10" ht="33.75">
      <c r="A287" s="3" t="s">
        <v>561</v>
      </c>
      <c r="B287" s="8">
        <v>1</v>
      </c>
      <c r="C287" s="8">
        <v>1</v>
      </c>
      <c r="D287" s="3" t="s">
        <v>78</v>
      </c>
      <c r="E287" s="14" t="s">
        <v>79</v>
      </c>
      <c r="F287" s="1" t="s">
        <v>404</v>
      </c>
      <c r="G287" s="2" t="s">
        <v>984</v>
      </c>
      <c r="H287" s="15" t="s">
        <v>423</v>
      </c>
      <c r="I287" s="31">
        <v>0</v>
      </c>
      <c r="J287" s="30">
        <v>0</v>
      </c>
    </row>
    <row r="288" spans="1:10" ht="33.75">
      <c r="A288" s="3" t="s">
        <v>561</v>
      </c>
      <c r="B288" s="8">
        <v>1</v>
      </c>
      <c r="C288" s="8">
        <v>1</v>
      </c>
      <c r="D288" s="3" t="s">
        <v>78</v>
      </c>
      <c r="E288" s="14" t="s">
        <v>79</v>
      </c>
      <c r="F288" s="1" t="s">
        <v>594</v>
      </c>
      <c r="G288" s="2" t="s">
        <v>984</v>
      </c>
      <c r="H288" s="15" t="s">
        <v>423</v>
      </c>
      <c r="I288" s="31">
        <v>126666.67</v>
      </c>
      <c r="J288" s="30">
        <v>95000.0025</v>
      </c>
    </row>
    <row r="289" spans="1:10" ht="33.75">
      <c r="A289" s="24" t="s">
        <v>561</v>
      </c>
      <c r="B289" s="6">
        <v>1</v>
      </c>
      <c r="C289" s="6">
        <v>1</v>
      </c>
      <c r="D289" s="33" t="s">
        <v>78</v>
      </c>
      <c r="E289" s="24" t="s">
        <v>79</v>
      </c>
      <c r="F289" s="24"/>
      <c r="G289" s="6"/>
      <c r="H289" s="6"/>
      <c r="I289" s="34">
        <f>SUBTOTAL(9,I283:I288)</f>
        <v>1609333.3299999998</v>
      </c>
      <c r="J289" s="34">
        <v>1206999.9974999998</v>
      </c>
    </row>
    <row r="290" spans="1:10" ht="56.25">
      <c r="A290" s="3" t="s">
        <v>564</v>
      </c>
      <c r="B290" s="8">
        <v>1</v>
      </c>
      <c r="C290" s="8">
        <v>1</v>
      </c>
      <c r="D290" s="3" t="s">
        <v>148</v>
      </c>
      <c r="E290" s="14" t="s">
        <v>149</v>
      </c>
      <c r="F290" s="12" t="s">
        <v>275</v>
      </c>
      <c r="G290" s="2" t="s">
        <v>984</v>
      </c>
      <c r="H290" s="15" t="s">
        <v>423</v>
      </c>
      <c r="I290" s="29">
        <v>100000</v>
      </c>
      <c r="J290" s="30">
        <v>75000</v>
      </c>
    </row>
    <row r="291" spans="1:10" ht="56.25">
      <c r="A291" s="3" t="s">
        <v>564</v>
      </c>
      <c r="B291" s="8">
        <v>1</v>
      </c>
      <c r="C291" s="8">
        <v>1</v>
      </c>
      <c r="D291" s="3" t="s">
        <v>148</v>
      </c>
      <c r="E291" s="14" t="s">
        <v>149</v>
      </c>
      <c r="F291" s="12" t="s">
        <v>744</v>
      </c>
      <c r="G291" s="2" t="s">
        <v>984</v>
      </c>
      <c r="H291" s="15" t="s">
        <v>423</v>
      </c>
      <c r="I291" s="29">
        <v>100000</v>
      </c>
      <c r="J291" s="30">
        <v>75000</v>
      </c>
    </row>
    <row r="292" spans="1:10" ht="56.25">
      <c r="A292" s="3" t="s">
        <v>564</v>
      </c>
      <c r="B292" s="8">
        <v>1</v>
      </c>
      <c r="C292" s="8">
        <v>1</v>
      </c>
      <c r="D292" s="3" t="s">
        <v>148</v>
      </c>
      <c r="E292" s="14" t="s">
        <v>149</v>
      </c>
      <c r="F292" s="10" t="s">
        <v>645</v>
      </c>
      <c r="G292" s="2" t="s">
        <v>983</v>
      </c>
      <c r="H292" s="15" t="s">
        <v>330</v>
      </c>
      <c r="I292" s="29">
        <f>1199600+76757.72</f>
        <v>1276357.72</v>
      </c>
      <c r="J292" s="30">
        <v>957268.29</v>
      </c>
    </row>
    <row r="293" spans="1:10" ht="56.25">
      <c r="A293" s="24" t="s">
        <v>564</v>
      </c>
      <c r="B293" s="6">
        <v>1</v>
      </c>
      <c r="C293" s="6">
        <v>1</v>
      </c>
      <c r="D293" s="33" t="s">
        <v>148</v>
      </c>
      <c r="E293" s="24" t="s">
        <v>149</v>
      </c>
      <c r="F293" s="24"/>
      <c r="G293" s="6"/>
      <c r="H293" s="6"/>
      <c r="I293" s="34">
        <f>SUBTOTAL(9,I290:I292)</f>
        <v>1476357.72</v>
      </c>
      <c r="J293" s="34">
        <v>1107268.29</v>
      </c>
    </row>
    <row r="294" spans="1:10" ht="67.5">
      <c r="A294" s="3" t="s">
        <v>564</v>
      </c>
      <c r="B294" s="8">
        <v>1</v>
      </c>
      <c r="C294" s="8">
        <v>2</v>
      </c>
      <c r="D294" s="3" t="s">
        <v>154</v>
      </c>
      <c r="E294" s="14" t="s">
        <v>155</v>
      </c>
      <c r="F294" s="10" t="s">
        <v>275</v>
      </c>
      <c r="G294" s="2" t="s">
        <v>984</v>
      </c>
      <c r="H294" s="15" t="s">
        <v>330</v>
      </c>
      <c r="I294" s="29">
        <v>100000</v>
      </c>
      <c r="J294" s="30">
        <v>75000</v>
      </c>
    </row>
    <row r="295" spans="1:10" ht="67.5">
      <c r="A295" s="3" t="s">
        <v>564</v>
      </c>
      <c r="B295" s="8">
        <v>1</v>
      </c>
      <c r="C295" s="8">
        <v>2</v>
      </c>
      <c r="D295" s="3" t="s">
        <v>154</v>
      </c>
      <c r="E295" s="14" t="s">
        <v>155</v>
      </c>
      <c r="F295" s="12" t="s">
        <v>467</v>
      </c>
      <c r="G295" s="2" t="s">
        <v>983</v>
      </c>
      <c r="H295" s="15" t="s">
        <v>423</v>
      </c>
      <c r="I295" s="29">
        <v>245000</v>
      </c>
      <c r="J295" s="30">
        <v>183750</v>
      </c>
    </row>
    <row r="296" spans="1:10" ht="67.5">
      <c r="A296" s="3" t="s">
        <v>564</v>
      </c>
      <c r="B296" s="8">
        <v>1</v>
      </c>
      <c r="C296" s="8">
        <v>2</v>
      </c>
      <c r="D296" s="3" t="s">
        <v>154</v>
      </c>
      <c r="E296" s="14" t="s">
        <v>155</v>
      </c>
      <c r="F296" s="12" t="s">
        <v>645</v>
      </c>
      <c r="G296" s="2" t="s">
        <v>983</v>
      </c>
      <c r="H296" s="15" t="s">
        <v>423</v>
      </c>
      <c r="I296" s="29">
        <v>275000</v>
      </c>
      <c r="J296" s="30">
        <v>206250</v>
      </c>
    </row>
    <row r="297" spans="1:10" ht="67.5">
      <c r="A297" s="24" t="s">
        <v>564</v>
      </c>
      <c r="B297" s="6">
        <v>1</v>
      </c>
      <c r="C297" s="6">
        <v>2</v>
      </c>
      <c r="D297" s="33" t="s">
        <v>154</v>
      </c>
      <c r="E297" s="24" t="s">
        <v>155</v>
      </c>
      <c r="F297" s="24"/>
      <c r="G297" s="6"/>
      <c r="H297" s="6"/>
      <c r="I297" s="34">
        <f>SUBTOTAL(9,I294:I296)</f>
        <v>620000</v>
      </c>
      <c r="J297" s="34">
        <v>465000</v>
      </c>
    </row>
    <row r="298" spans="1:10" ht="33.75">
      <c r="A298" s="3" t="s">
        <v>562</v>
      </c>
      <c r="B298" s="8">
        <v>1</v>
      </c>
      <c r="C298" s="8">
        <v>4</v>
      </c>
      <c r="D298" s="3" t="s">
        <v>114</v>
      </c>
      <c r="E298" s="14" t="s">
        <v>115</v>
      </c>
      <c r="F298" s="3" t="s">
        <v>550</v>
      </c>
      <c r="G298" s="2" t="s">
        <v>983</v>
      </c>
      <c r="H298" s="15" t="s">
        <v>423</v>
      </c>
      <c r="I298" s="29">
        <v>200000</v>
      </c>
      <c r="J298" s="30">
        <v>150000</v>
      </c>
    </row>
    <row r="299" spans="1:10" ht="33.75">
      <c r="A299" s="3" t="s">
        <v>562</v>
      </c>
      <c r="B299" s="8">
        <v>1</v>
      </c>
      <c r="C299" s="8">
        <v>4</v>
      </c>
      <c r="D299" s="3" t="s">
        <v>114</v>
      </c>
      <c r="E299" s="14" t="s">
        <v>115</v>
      </c>
      <c r="F299" s="1" t="s">
        <v>671</v>
      </c>
      <c r="G299" s="2" t="s">
        <v>984</v>
      </c>
      <c r="H299" s="15" t="s">
        <v>423</v>
      </c>
      <c r="I299" s="29">
        <f>182500+8481.07</f>
        <v>190981.07</v>
      </c>
      <c r="J299" s="30">
        <v>143235.8025</v>
      </c>
    </row>
    <row r="300" spans="1:10" ht="33.75">
      <c r="A300" s="3" t="s">
        <v>562</v>
      </c>
      <c r="B300" s="8">
        <v>1</v>
      </c>
      <c r="C300" s="8">
        <v>4</v>
      </c>
      <c r="D300" s="3" t="s">
        <v>114</v>
      </c>
      <c r="E300" s="14" t="s">
        <v>115</v>
      </c>
      <c r="F300" s="5" t="s">
        <v>551</v>
      </c>
      <c r="G300" s="8" t="s">
        <v>984</v>
      </c>
      <c r="H300" s="15" t="s">
        <v>330</v>
      </c>
      <c r="I300" s="29">
        <v>330000</v>
      </c>
      <c r="J300" s="30">
        <v>247500</v>
      </c>
    </row>
    <row r="301" spans="1:10" ht="33.75">
      <c r="A301" s="24" t="s">
        <v>562</v>
      </c>
      <c r="B301" s="6">
        <v>1</v>
      </c>
      <c r="C301" s="6">
        <v>4</v>
      </c>
      <c r="D301" s="33" t="s">
        <v>114</v>
      </c>
      <c r="E301" s="24" t="s">
        <v>115</v>
      </c>
      <c r="F301" s="24"/>
      <c r="G301" s="6"/>
      <c r="H301" s="6"/>
      <c r="I301" s="34">
        <f>SUBTOTAL(9,I298:I300)</f>
        <v>720981.0700000001</v>
      </c>
      <c r="J301" s="34">
        <v>540735.8025</v>
      </c>
    </row>
    <row r="302" spans="1:10" ht="33.75">
      <c r="A302" s="3" t="s">
        <v>564</v>
      </c>
      <c r="B302" s="8">
        <v>1</v>
      </c>
      <c r="C302" s="8">
        <v>2</v>
      </c>
      <c r="D302" s="3" t="s">
        <v>172</v>
      </c>
      <c r="E302" s="14" t="s">
        <v>173</v>
      </c>
      <c r="F302" s="11" t="s">
        <v>485</v>
      </c>
      <c r="G302" s="2" t="s">
        <v>983</v>
      </c>
      <c r="H302" s="15" t="s">
        <v>423</v>
      </c>
      <c r="I302" s="29">
        <v>300450.66</v>
      </c>
      <c r="J302" s="30">
        <v>225337.995</v>
      </c>
    </row>
    <row r="303" spans="1:10" ht="33.75">
      <c r="A303" s="3" t="s">
        <v>564</v>
      </c>
      <c r="B303" s="8">
        <v>1</v>
      </c>
      <c r="C303" s="8">
        <v>2</v>
      </c>
      <c r="D303" s="3" t="s">
        <v>172</v>
      </c>
      <c r="E303" s="14" t="s">
        <v>173</v>
      </c>
      <c r="F303" s="11" t="s">
        <v>487</v>
      </c>
      <c r="G303" s="2" t="s">
        <v>983</v>
      </c>
      <c r="H303" s="15" t="s">
        <v>423</v>
      </c>
      <c r="I303" s="29">
        <v>327088</v>
      </c>
      <c r="J303" s="30">
        <v>245316</v>
      </c>
    </row>
    <row r="304" spans="1:10" ht="33.75">
      <c r="A304" s="3" t="s">
        <v>564</v>
      </c>
      <c r="B304" s="8">
        <v>1</v>
      </c>
      <c r="C304" s="8">
        <v>2</v>
      </c>
      <c r="D304" s="3" t="s">
        <v>172</v>
      </c>
      <c r="E304" s="14" t="s">
        <v>173</v>
      </c>
      <c r="F304" s="12" t="s">
        <v>353</v>
      </c>
      <c r="G304" s="2" t="s">
        <v>984</v>
      </c>
      <c r="H304" s="15" t="s">
        <v>423</v>
      </c>
      <c r="I304" s="29">
        <v>100000</v>
      </c>
      <c r="J304" s="30">
        <v>75000</v>
      </c>
    </row>
    <row r="305" spans="1:10" ht="33.75">
      <c r="A305" s="3" t="s">
        <v>564</v>
      </c>
      <c r="B305" s="8">
        <v>1</v>
      </c>
      <c r="C305" s="8">
        <v>2</v>
      </c>
      <c r="D305" s="3" t="s">
        <v>172</v>
      </c>
      <c r="E305" s="14" t="s">
        <v>173</v>
      </c>
      <c r="F305" s="12" t="s">
        <v>355</v>
      </c>
      <c r="G305" s="2" t="s">
        <v>984</v>
      </c>
      <c r="H305" s="15" t="s">
        <v>423</v>
      </c>
      <c r="I305" s="29">
        <v>140660</v>
      </c>
      <c r="J305" s="30">
        <v>105495</v>
      </c>
    </row>
    <row r="306" spans="1:10" ht="33.75">
      <c r="A306" s="3" t="s">
        <v>564</v>
      </c>
      <c r="B306" s="8">
        <v>1</v>
      </c>
      <c r="C306" s="8">
        <v>2</v>
      </c>
      <c r="D306" s="3" t="s">
        <v>172</v>
      </c>
      <c r="E306" s="14" t="s">
        <v>173</v>
      </c>
      <c r="F306" s="12" t="s">
        <v>352</v>
      </c>
      <c r="G306" s="2" t="s">
        <v>984</v>
      </c>
      <c r="H306" s="15" t="s">
        <v>423</v>
      </c>
      <c r="I306" s="29">
        <v>140660</v>
      </c>
      <c r="J306" s="30">
        <v>105495</v>
      </c>
    </row>
    <row r="307" spans="1:10" ht="33.75">
      <c r="A307" s="3" t="s">
        <v>564</v>
      </c>
      <c r="B307" s="8">
        <v>1</v>
      </c>
      <c r="C307" s="8">
        <v>2</v>
      </c>
      <c r="D307" s="3" t="s">
        <v>172</v>
      </c>
      <c r="E307" s="14" t="s">
        <v>173</v>
      </c>
      <c r="F307" s="11" t="s">
        <v>486</v>
      </c>
      <c r="G307" s="2" t="s">
        <v>983</v>
      </c>
      <c r="H307" s="15" t="s">
        <v>423</v>
      </c>
      <c r="I307" s="29">
        <v>101063.23</v>
      </c>
      <c r="J307" s="30">
        <v>75797.4225</v>
      </c>
    </row>
    <row r="308" spans="1:10" ht="33.75">
      <c r="A308" s="3" t="s">
        <v>564</v>
      </c>
      <c r="B308" s="8">
        <v>1</v>
      </c>
      <c r="C308" s="8">
        <v>2</v>
      </c>
      <c r="D308" s="3" t="s">
        <v>172</v>
      </c>
      <c r="E308" s="14" t="s">
        <v>173</v>
      </c>
      <c r="F308" s="12" t="s">
        <v>488</v>
      </c>
      <c r="G308" s="2" t="s">
        <v>984</v>
      </c>
      <c r="H308" s="15" t="s">
        <v>423</v>
      </c>
      <c r="I308" s="29">
        <v>120000</v>
      </c>
      <c r="J308" s="30">
        <v>90000</v>
      </c>
    </row>
    <row r="309" spans="1:10" ht="33.75">
      <c r="A309" s="3" t="s">
        <v>564</v>
      </c>
      <c r="B309" s="8">
        <v>1</v>
      </c>
      <c r="C309" s="8">
        <v>2</v>
      </c>
      <c r="D309" s="3" t="s">
        <v>172</v>
      </c>
      <c r="E309" s="14" t="s">
        <v>173</v>
      </c>
      <c r="F309" s="10" t="s">
        <v>716</v>
      </c>
      <c r="G309" s="8" t="s">
        <v>984</v>
      </c>
      <c r="H309" s="15" t="s">
        <v>330</v>
      </c>
      <c r="I309" s="29">
        <v>100000</v>
      </c>
      <c r="J309" s="30">
        <v>75000</v>
      </c>
    </row>
    <row r="310" spans="1:10" ht="33.75">
      <c r="A310" s="24" t="s">
        <v>564</v>
      </c>
      <c r="B310" s="6">
        <v>1</v>
      </c>
      <c r="C310" s="6">
        <v>2</v>
      </c>
      <c r="D310" s="33" t="s">
        <v>172</v>
      </c>
      <c r="E310" s="24" t="s">
        <v>173</v>
      </c>
      <c r="F310" s="24"/>
      <c r="G310" s="6"/>
      <c r="H310" s="6"/>
      <c r="I310" s="34">
        <f>SUBTOTAL(9,I302:I309)</f>
        <v>1329921.89</v>
      </c>
      <c r="J310" s="34">
        <v>997441.4175</v>
      </c>
    </row>
    <row r="311" spans="1:10" ht="33.75">
      <c r="A311" s="3" t="s">
        <v>562</v>
      </c>
      <c r="B311" s="8">
        <v>1</v>
      </c>
      <c r="C311" s="8">
        <v>1</v>
      </c>
      <c r="D311" s="3" t="s">
        <v>102</v>
      </c>
      <c r="E311" s="14" t="s">
        <v>557</v>
      </c>
      <c r="F311" s="5" t="s">
        <v>646</v>
      </c>
      <c r="G311" s="2" t="s">
        <v>983</v>
      </c>
      <c r="H311" s="15" t="s">
        <v>330</v>
      </c>
      <c r="I311" s="29">
        <v>822000</v>
      </c>
      <c r="J311" s="30">
        <v>616500</v>
      </c>
    </row>
    <row r="312" spans="1:10" ht="33.75">
      <c r="A312" s="3" t="s">
        <v>562</v>
      </c>
      <c r="B312" s="8">
        <v>1</v>
      </c>
      <c r="C312" s="8">
        <v>1</v>
      </c>
      <c r="D312" s="3" t="s">
        <v>102</v>
      </c>
      <c r="E312" s="14" t="s">
        <v>557</v>
      </c>
      <c r="F312" s="1" t="s">
        <v>612</v>
      </c>
      <c r="G312" s="8" t="s">
        <v>984</v>
      </c>
      <c r="H312" s="15" t="s">
        <v>423</v>
      </c>
      <c r="I312" s="29">
        <v>189000</v>
      </c>
      <c r="J312" s="30">
        <v>141750</v>
      </c>
    </row>
    <row r="313" spans="1:10" ht="33.75">
      <c r="A313" s="24" t="s">
        <v>562</v>
      </c>
      <c r="B313" s="6">
        <v>1</v>
      </c>
      <c r="C313" s="6">
        <v>1</v>
      </c>
      <c r="D313" s="33" t="s">
        <v>102</v>
      </c>
      <c r="E313" s="24" t="s">
        <v>557</v>
      </c>
      <c r="F313" s="24"/>
      <c r="G313" s="6"/>
      <c r="H313" s="6"/>
      <c r="I313" s="34">
        <f>SUBTOTAL(9,I311:I312)</f>
        <v>1011000</v>
      </c>
      <c r="J313" s="34">
        <v>758250</v>
      </c>
    </row>
    <row r="314" spans="1:10" ht="33.75">
      <c r="A314" s="3" t="s">
        <v>563</v>
      </c>
      <c r="B314" s="8">
        <v>1</v>
      </c>
      <c r="C314" s="8">
        <v>3</v>
      </c>
      <c r="D314" s="3" t="s">
        <v>136</v>
      </c>
      <c r="E314" s="14" t="s">
        <v>137</v>
      </c>
      <c r="F314" s="1" t="s">
        <v>605</v>
      </c>
      <c r="G314" s="2" t="s">
        <v>984</v>
      </c>
      <c r="H314" s="15" t="s">
        <v>423</v>
      </c>
      <c r="I314" s="29">
        <f>100000+98.38</f>
        <v>100098.38</v>
      </c>
      <c r="J314" s="30">
        <v>75073.785</v>
      </c>
    </row>
    <row r="315" spans="1:10" ht="33.75">
      <c r="A315" s="3" t="s">
        <v>563</v>
      </c>
      <c r="B315" s="8">
        <v>1</v>
      </c>
      <c r="C315" s="8">
        <v>3</v>
      </c>
      <c r="D315" s="3" t="s">
        <v>136</v>
      </c>
      <c r="E315" s="14" t="s">
        <v>137</v>
      </c>
      <c r="F315" s="3" t="s">
        <v>607</v>
      </c>
      <c r="G315" s="2" t="s">
        <v>983</v>
      </c>
      <c r="H315" s="15" t="s">
        <v>423</v>
      </c>
      <c r="I315" s="29">
        <v>500000</v>
      </c>
      <c r="J315" s="30">
        <v>375000</v>
      </c>
    </row>
    <row r="316" spans="1:10" ht="33.75">
      <c r="A316" s="3" t="s">
        <v>563</v>
      </c>
      <c r="B316" s="8">
        <v>1</v>
      </c>
      <c r="C316" s="8">
        <v>3</v>
      </c>
      <c r="D316" s="3" t="s">
        <v>136</v>
      </c>
      <c r="E316" s="14" t="s">
        <v>137</v>
      </c>
      <c r="F316" s="3" t="s">
        <v>608</v>
      </c>
      <c r="G316" s="2" t="s">
        <v>983</v>
      </c>
      <c r="H316" s="15" t="s">
        <v>423</v>
      </c>
      <c r="I316" s="29">
        <v>157000</v>
      </c>
      <c r="J316" s="30">
        <v>117750</v>
      </c>
    </row>
    <row r="317" spans="1:10" ht="33.75">
      <c r="A317" s="3" t="s">
        <v>563</v>
      </c>
      <c r="B317" s="8">
        <v>1</v>
      </c>
      <c r="C317" s="8">
        <v>3</v>
      </c>
      <c r="D317" s="3" t="s">
        <v>136</v>
      </c>
      <c r="E317" s="14" t="s">
        <v>137</v>
      </c>
      <c r="F317" s="3" t="s">
        <v>138</v>
      </c>
      <c r="G317" s="2" t="s">
        <v>983</v>
      </c>
      <c r="H317" s="15" t="s">
        <v>423</v>
      </c>
      <c r="I317" s="29">
        <f>100000+820.75</f>
        <v>100820.75</v>
      </c>
      <c r="J317" s="30">
        <v>75615.5625</v>
      </c>
    </row>
    <row r="318" spans="1:10" ht="33.75">
      <c r="A318" s="3" t="s">
        <v>563</v>
      </c>
      <c r="B318" s="8">
        <v>1</v>
      </c>
      <c r="C318" s="8">
        <v>3</v>
      </c>
      <c r="D318" s="3" t="s">
        <v>136</v>
      </c>
      <c r="E318" s="14" t="s">
        <v>137</v>
      </c>
      <c r="F318" s="1" t="s">
        <v>342</v>
      </c>
      <c r="G318" s="2" t="s">
        <v>983</v>
      </c>
      <c r="H318" s="15" t="s">
        <v>423</v>
      </c>
      <c r="I318" s="29">
        <f>440000+52323.73</f>
        <v>492323.73</v>
      </c>
      <c r="J318" s="30">
        <v>369242.7975</v>
      </c>
    </row>
    <row r="319" spans="1:10" ht="33.75">
      <c r="A319" s="3" t="s">
        <v>563</v>
      </c>
      <c r="B319" s="8">
        <v>1</v>
      </c>
      <c r="C319" s="8">
        <v>3</v>
      </c>
      <c r="D319" s="3" t="s">
        <v>136</v>
      </c>
      <c r="E319" s="14" t="s">
        <v>137</v>
      </c>
      <c r="F319" s="3" t="s">
        <v>139</v>
      </c>
      <c r="G319" s="2" t="s">
        <v>983</v>
      </c>
      <c r="H319" s="15" t="s">
        <v>423</v>
      </c>
      <c r="I319" s="29">
        <v>0</v>
      </c>
      <c r="J319" s="30">
        <v>0</v>
      </c>
    </row>
    <row r="320" spans="1:10" ht="33.75">
      <c r="A320" s="3" t="s">
        <v>563</v>
      </c>
      <c r="B320" s="8">
        <v>1</v>
      </c>
      <c r="C320" s="8">
        <v>3</v>
      </c>
      <c r="D320" s="3" t="s">
        <v>136</v>
      </c>
      <c r="E320" s="14" t="s">
        <v>137</v>
      </c>
      <c r="F320" s="1" t="s">
        <v>537</v>
      </c>
      <c r="G320" s="2" t="s">
        <v>984</v>
      </c>
      <c r="H320" s="15" t="s">
        <v>423</v>
      </c>
      <c r="I320" s="29">
        <v>133333.33</v>
      </c>
      <c r="J320" s="30">
        <v>99999.9975</v>
      </c>
    </row>
    <row r="321" spans="1:10" ht="33.75">
      <c r="A321" s="3" t="s">
        <v>563</v>
      </c>
      <c r="B321" s="8">
        <v>1</v>
      </c>
      <c r="C321" s="8">
        <v>3</v>
      </c>
      <c r="D321" s="3" t="s">
        <v>136</v>
      </c>
      <c r="E321" s="14" t="s">
        <v>137</v>
      </c>
      <c r="F321" s="5" t="s">
        <v>991</v>
      </c>
      <c r="G321" s="2" t="s">
        <v>984</v>
      </c>
      <c r="H321" s="15" t="s">
        <v>330</v>
      </c>
      <c r="I321" s="29">
        <v>133333.33</v>
      </c>
      <c r="J321" s="30">
        <v>99999.9975</v>
      </c>
    </row>
    <row r="322" spans="1:10" ht="33.75">
      <c r="A322" s="24" t="s">
        <v>563</v>
      </c>
      <c r="B322" s="6">
        <v>1</v>
      </c>
      <c r="C322" s="6">
        <v>3</v>
      </c>
      <c r="D322" s="33" t="s">
        <v>136</v>
      </c>
      <c r="E322" s="24" t="s">
        <v>137</v>
      </c>
      <c r="F322" s="24"/>
      <c r="G322" s="6"/>
      <c r="H322" s="6"/>
      <c r="I322" s="34">
        <f>SUBTOTAL(9,I314:I321)</f>
        <v>1616909.52</v>
      </c>
      <c r="J322" s="34">
        <v>1212682.1400000001</v>
      </c>
    </row>
    <row r="323" spans="1:10" ht="33.75">
      <c r="A323" s="3" t="s">
        <v>807</v>
      </c>
      <c r="B323" s="8">
        <v>1</v>
      </c>
      <c r="C323" s="8">
        <v>4</v>
      </c>
      <c r="D323" s="3" t="s">
        <v>63</v>
      </c>
      <c r="E323" s="14" t="s">
        <v>64</v>
      </c>
      <c r="F323" s="5" t="s">
        <v>65</v>
      </c>
      <c r="G323" s="8" t="s">
        <v>984</v>
      </c>
      <c r="H323" s="15" t="s">
        <v>330</v>
      </c>
      <c r="I323" s="29">
        <v>240000</v>
      </c>
      <c r="J323" s="30">
        <v>180000</v>
      </c>
    </row>
    <row r="324" spans="1:10" ht="33.75">
      <c r="A324" s="3" t="s">
        <v>807</v>
      </c>
      <c r="B324" s="8">
        <v>1</v>
      </c>
      <c r="C324" s="8">
        <v>4</v>
      </c>
      <c r="D324" s="3" t="s">
        <v>63</v>
      </c>
      <c r="E324" s="14" t="s">
        <v>64</v>
      </c>
      <c r="F324" s="3" t="s">
        <v>66</v>
      </c>
      <c r="G324" s="2" t="s">
        <v>983</v>
      </c>
      <c r="H324" s="15" t="s">
        <v>423</v>
      </c>
      <c r="I324" s="29">
        <v>100000</v>
      </c>
      <c r="J324" s="30">
        <v>75000</v>
      </c>
    </row>
    <row r="325" spans="1:10" ht="33.75">
      <c r="A325" s="3" t="s">
        <v>807</v>
      </c>
      <c r="B325" s="8">
        <v>1</v>
      </c>
      <c r="C325" s="8">
        <v>4</v>
      </c>
      <c r="D325" s="3" t="s">
        <v>63</v>
      </c>
      <c r="E325" s="14" t="s">
        <v>64</v>
      </c>
      <c r="F325" s="3" t="s">
        <v>67</v>
      </c>
      <c r="G325" s="2" t="s">
        <v>983</v>
      </c>
      <c r="H325" s="15" t="s">
        <v>423</v>
      </c>
      <c r="I325" s="29">
        <v>166666.67</v>
      </c>
      <c r="J325" s="30">
        <v>125000.0025</v>
      </c>
    </row>
    <row r="326" spans="1:10" ht="33.75">
      <c r="A326" s="3" t="s">
        <v>807</v>
      </c>
      <c r="B326" s="8">
        <v>1</v>
      </c>
      <c r="C326" s="8">
        <v>4</v>
      </c>
      <c r="D326" s="3" t="s">
        <v>63</v>
      </c>
      <c r="E326" s="14" t="s">
        <v>64</v>
      </c>
      <c r="F326" s="3" t="s">
        <v>68</v>
      </c>
      <c r="G326" s="8" t="s">
        <v>983</v>
      </c>
      <c r="H326" s="15" t="s">
        <v>423</v>
      </c>
      <c r="I326" s="29">
        <v>100000</v>
      </c>
      <c r="J326" s="30">
        <v>75000</v>
      </c>
    </row>
    <row r="327" spans="1:10" ht="33.75">
      <c r="A327" s="24" t="s">
        <v>807</v>
      </c>
      <c r="B327" s="6">
        <v>1</v>
      </c>
      <c r="C327" s="6">
        <v>4</v>
      </c>
      <c r="D327" s="33" t="s">
        <v>63</v>
      </c>
      <c r="E327" s="24" t="s">
        <v>64</v>
      </c>
      <c r="F327" s="24"/>
      <c r="G327" s="6"/>
      <c r="H327" s="6"/>
      <c r="I327" s="34">
        <f>SUBTOTAL(9,I323:I326)</f>
        <v>606666.67</v>
      </c>
      <c r="J327" s="34">
        <v>455000.0025</v>
      </c>
    </row>
    <row r="328" spans="1:10" ht="33.75">
      <c r="A328" s="3" t="s">
        <v>565</v>
      </c>
      <c r="B328" s="8">
        <v>1</v>
      </c>
      <c r="C328" s="8">
        <v>1</v>
      </c>
      <c r="D328" s="3" t="s">
        <v>103</v>
      </c>
      <c r="E328" s="14" t="s">
        <v>104</v>
      </c>
      <c r="F328" s="1" t="s">
        <v>596</v>
      </c>
      <c r="G328" s="2" t="s">
        <v>984</v>
      </c>
      <c r="H328" s="15" t="s">
        <v>423</v>
      </c>
      <c r="I328" s="31">
        <v>105520.53</v>
      </c>
      <c r="J328" s="30">
        <v>79140.39749999999</v>
      </c>
    </row>
    <row r="329" spans="1:10" ht="33.75">
      <c r="A329" s="3" t="s">
        <v>565</v>
      </c>
      <c r="B329" s="8">
        <v>1</v>
      </c>
      <c r="C329" s="8">
        <v>1</v>
      </c>
      <c r="D329" s="3" t="s">
        <v>103</v>
      </c>
      <c r="E329" s="14" t="s">
        <v>104</v>
      </c>
      <c r="F329" s="3" t="s">
        <v>309</v>
      </c>
      <c r="G329" s="8" t="s">
        <v>983</v>
      </c>
      <c r="H329" s="15" t="s">
        <v>423</v>
      </c>
      <c r="I329" s="31">
        <v>106587.69</v>
      </c>
      <c r="J329" s="30">
        <v>79940.7675</v>
      </c>
    </row>
    <row r="330" spans="1:10" ht="33.75">
      <c r="A330" s="3" t="s">
        <v>565</v>
      </c>
      <c r="B330" s="8">
        <v>1</v>
      </c>
      <c r="C330" s="8">
        <v>1</v>
      </c>
      <c r="D330" s="3" t="s">
        <v>103</v>
      </c>
      <c r="E330" s="14" t="s">
        <v>104</v>
      </c>
      <c r="F330" s="1" t="s">
        <v>708</v>
      </c>
      <c r="G330" s="8" t="s">
        <v>984</v>
      </c>
      <c r="H330" s="15" t="s">
        <v>423</v>
      </c>
      <c r="I330" s="31">
        <v>154842.89</v>
      </c>
      <c r="J330" s="30">
        <v>116132.16750000001</v>
      </c>
    </row>
    <row r="331" spans="1:10" ht="33.75">
      <c r="A331" s="3" t="s">
        <v>565</v>
      </c>
      <c r="B331" s="8">
        <v>1</v>
      </c>
      <c r="C331" s="8">
        <v>1</v>
      </c>
      <c r="D331" s="3" t="s">
        <v>103</v>
      </c>
      <c r="E331" s="14" t="s">
        <v>104</v>
      </c>
      <c r="F331" s="5" t="s">
        <v>357</v>
      </c>
      <c r="G331" s="8" t="s">
        <v>984</v>
      </c>
      <c r="H331" s="15" t="s">
        <v>330</v>
      </c>
      <c r="I331" s="31">
        <v>345800.48</v>
      </c>
      <c r="J331" s="30">
        <v>259350.36</v>
      </c>
    </row>
    <row r="332" spans="1:10" ht="33.75">
      <c r="A332" s="3" t="s">
        <v>565</v>
      </c>
      <c r="B332" s="8">
        <v>1</v>
      </c>
      <c r="C332" s="8">
        <v>1</v>
      </c>
      <c r="D332" s="3" t="s">
        <v>103</v>
      </c>
      <c r="E332" s="14" t="s">
        <v>104</v>
      </c>
      <c r="F332" s="1" t="s">
        <v>676</v>
      </c>
      <c r="G332" s="2" t="s">
        <v>983</v>
      </c>
      <c r="H332" s="15" t="s">
        <v>423</v>
      </c>
      <c r="I332" s="31">
        <v>513475.53</v>
      </c>
      <c r="J332" s="30">
        <v>385106.6475</v>
      </c>
    </row>
    <row r="333" spans="1:10" ht="33.75">
      <c r="A333" s="3" t="s">
        <v>565</v>
      </c>
      <c r="B333" s="8">
        <v>1</v>
      </c>
      <c r="C333" s="8">
        <v>1</v>
      </c>
      <c r="D333" s="3" t="s">
        <v>103</v>
      </c>
      <c r="E333" s="14" t="s">
        <v>104</v>
      </c>
      <c r="F333" s="3" t="s">
        <v>662</v>
      </c>
      <c r="G333" s="8" t="s">
        <v>983</v>
      </c>
      <c r="H333" s="15" t="s">
        <v>423</v>
      </c>
      <c r="I333" s="31">
        <v>170928.96</v>
      </c>
      <c r="J333" s="30">
        <v>128196.72</v>
      </c>
    </row>
    <row r="334" spans="1:10" ht="33.75">
      <c r="A334" s="3" t="s">
        <v>565</v>
      </c>
      <c r="B334" s="8">
        <v>1</v>
      </c>
      <c r="C334" s="8">
        <v>1</v>
      </c>
      <c r="D334" s="3" t="s">
        <v>103</v>
      </c>
      <c r="E334" s="14" t="s">
        <v>104</v>
      </c>
      <c r="F334" s="3" t="s">
        <v>677</v>
      </c>
      <c r="G334" s="8" t="s">
        <v>983</v>
      </c>
      <c r="H334" s="15" t="s">
        <v>423</v>
      </c>
      <c r="I334" s="31">
        <v>131808.35</v>
      </c>
      <c r="J334" s="30">
        <v>98856.26250000001</v>
      </c>
    </row>
    <row r="335" spans="1:10" ht="33.75">
      <c r="A335" s="24" t="s">
        <v>565</v>
      </c>
      <c r="B335" s="6">
        <v>1</v>
      </c>
      <c r="C335" s="6">
        <v>1</v>
      </c>
      <c r="D335" s="33" t="s">
        <v>103</v>
      </c>
      <c r="E335" s="24" t="s">
        <v>104</v>
      </c>
      <c r="F335" s="24"/>
      <c r="G335" s="6"/>
      <c r="H335" s="6"/>
      <c r="I335" s="34">
        <f>SUBTOTAL(9,I328:I334)</f>
        <v>1528964.4300000002</v>
      </c>
      <c r="J335" s="34">
        <v>1146723.3225</v>
      </c>
    </row>
    <row r="336" spans="1:10" ht="33.75">
      <c r="A336" s="3" t="s">
        <v>563</v>
      </c>
      <c r="B336" s="8">
        <v>1</v>
      </c>
      <c r="C336" s="8">
        <v>4</v>
      </c>
      <c r="D336" s="3" t="s">
        <v>142</v>
      </c>
      <c r="E336" s="14" t="s">
        <v>143</v>
      </c>
      <c r="F336" s="5" t="s">
        <v>712</v>
      </c>
      <c r="G336" s="2" t="s">
        <v>983</v>
      </c>
      <c r="H336" s="15" t="s">
        <v>330</v>
      </c>
      <c r="I336" s="29">
        <f>2044399+494246.71</f>
        <v>2538645.71</v>
      </c>
      <c r="J336" s="30">
        <v>1903984.2825</v>
      </c>
    </row>
    <row r="337" spans="1:10" ht="33.75">
      <c r="A337" s="3" t="s">
        <v>563</v>
      </c>
      <c r="B337" s="8">
        <v>1</v>
      </c>
      <c r="C337" s="8">
        <v>4</v>
      </c>
      <c r="D337" s="3" t="s">
        <v>142</v>
      </c>
      <c r="E337" s="14" t="s">
        <v>143</v>
      </c>
      <c r="F337" s="1" t="s">
        <v>713</v>
      </c>
      <c r="G337" s="2" t="s">
        <v>984</v>
      </c>
      <c r="H337" s="15" t="s">
        <v>423</v>
      </c>
      <c r="I337" s="29">
        <v>155600</v>
      </c>
      <c r="J337" s="30">
        <v>116700</v>
      </c>
    </row>
    <row r="338" spans="1:10" ht="33.75">
      <c r="A338" s="3" t="s">
        <v>563</v>
      </c>
      <c r="B338" s="8">
        <v>1</v>
      </c>
      <c r="C338" s="8">
        <v>4</v>
      </c>
      <c r="D338" s="3" t="s">
        <v>142</v>
      </c>
      <c r="E338" s="14" t="s">
        <v>143</v>
      </c>
      <c r="F338" s="1" t="s">
        <v>714</v>
      </c>
      <c r="G338" s="2" t="s">
        <v>984</v>
      </c>
      <c r="H338" s="15" t="s">
        <v>423</v>
      </c>
      <c r="I338" s="29">
        <v>300000</v>
      </c>
      <c r="J338" s="30">
        <v>225000</v>
      </c>
    </row>
    <row r="339" spans="1:10" ht="33.75">
      <c r="A339" s="24" t="s">
        <v>563</v>
      </c>
      <c r="B339" s="6">
        <v>1</v>
      </c>
      <c r="C339" s="6">
        <v>4</v>
      </c>
      <c r="D339" s="33" t="s">
        <v>142</v>
      </c>
      <c r="E339" s="24" t="s">
        <v>143</v>
      </c>
      <c r="F339" s="24"/>
      <c r="G339" s="6"/>
      <c r="H339" s="6"/>
      <c r="I339" s="34">
        <f>SUBTOTAL(9,I336:I338)</f>
        <v>2994245.71</v>
      </c>
      <c r="J339" s="34">
        <v>2245684.2824999997</v>
      </c>
    </row>
    <row r="340" spans="1:10" ht="22.5">
      <c r="A340" s="3" t="s">
        <v>807</v>
      </c>
      <c r="B340" s="8">
        <v>1</v>
      </c>
      <c r="C340" s="8">
        <v>2</v>
      </c>
      <c r="D340" s="3" t="s">
        <v>43</v>
      </c>
      <c r="E340" s="14" t="s">
        <v>44</v>
      </c>
      <c r="F340" s="3" t="s">
        <v>287</v>
      </c>
      <c r="G340" s="2" t="s">
        <v>983</v>
      </c>
      <c r="H340" s="15" t="s">
        <v>423</v>
      </c>
      <c r="I340" s="29">
        <v>200000</v>
      </c>
      <c r="J340" s="30">
        <v>150000</v>
      </c>
    </row>
    <row r="341" spans="1:10" ht="22.5">
      <c r="A341" s="3" t="s">
        <v>807</v>
      </c>
      <c r="B341" s="8">
        <v>1</v>
      </c>
      <c r="C341" s="8">
        <v>2</v>
      </c>
      <c r="D341" s="3" t="s">
        <v>43</v>
      </c>
      <c r="E341" s="14" t="s">
        <v>44</v>
      </c>
      <c r="F341" s="1" t="s">
        <v>792</v>
      </c>
      <c r="G341" s="8" t="s">
        <v>984</v>
      </c>
      <c r="H341" s="15" t="s">
        <v>423</v>
      </c>
      <c r="I341" s="29">
        <f>241000+948.48</f>
        <v>241948.48</v>
      </c>
      <c r="J341" s="30">
        <v>181461.36000000002</v>
      </c>
    </row>
    <row r="342" spans="1:10" ht="22.5">
      <c r="A342" s="3" t="s">
        <v>807</v>
      </c>
      <c r="B342" s="8">
        <v>1</v>
      </c>
      <c r="C342" s="8">
        <v>2</v>
      </c>
      <c r="D342" s="3" t="s">
        <v>43</v>
      </c>
      <c r="E342" s="14" t="s">
        <v>44</v>
      </c>
      <c r="F342" s="5" t="s">
        <v>996</v>
      </c>
      <c r="G342" s="2" t="s">
        <v>983</v>
      </c>
      <c r="H342" s="15" t="s">
        <v>330</v>
      </c>
      <c r="I342" s="29">
        <v>647414</v>
      </c>
      <c r="J342" s="30">
        <v>485560.5</v>
      </c>
    </row>
    <row r="343" spans="1:10" ht="22.5">
      <c r="A343" s="3" t="s">
        <v>807</v>
      </c>
      <c r="B343" s="8">
        <v>1</v>
      </c>
      <c r="C343" s="8">
        <v>2</v>
      </c>
      <c r="D343" s="3" t="s">
        <v>43</v>
      </c>
      <c r="E343" s="14" t="s">
        <v>44</v>
      </c>
      <c r="F343" s="3" t="s">
        <v>379</v>
      </c>
      <c r="G343" s="2" t="s">
        <v>983</v>
      </c>
      <c r="H343" s="15" t="s">
        <v>423</v>
      </c>
      <c r="I343" s="29">
        <v>410565</v>
      </c>
      <c r="J343" s="30">
        <v>307923.75</v>
      </c>
    </row>
    <row r="344" spans="1:10" ht="22.5">
      <c r="A344" s="3" t="s">
        <v>807</v>
      </c>
      <c r="B344" s="8">
        <v>1</v>
      </c>
      <c r="C344" s="8">
        <v>2</v>
      </c>
      <c r="D344" s="3" t="s">
        <v>43</v>
      </c>
      <c r="E344" s="14" t="s">
        <v>44</v>
      </c>
      <c r="F344" s="1" t="s">
        <v>575</v>
      </c>
      <c r="G344" s="8" t="s">
        <v>983</v>
      </c>
      <c r="H344" s="15" t="s">
        <v>423</v>
      </c>
      <c r="I344" s="29">
        <v>544850</v>
      </c>
      <c r="J344" s="30">
        <v>408637.5</v>
      </c>
    </row>
    <row r="345" spans="1:10" ht="22.5">
      <c r="A345" s="3" t="s">
        <v>807</v>
      </c>
      <c r="B345" s="8">
        <v>1</v>
      </c>
      <c r="C345" s="8">
        <v>2</v>
      </c>
      <c r="D345" s="3" t="s">
        <v>43</v>
      </c>
      <c r="E345" s="14" t="s">
        <v>44</v>
      </c>
      <c r="F345" s="1" t="s">
        <v>239</v>
      </c>
      <c r="G345" s="2" t="s">
        <v>984</v>
      </c>
      <c r="H345" s="15" t="s">
        <v>423</v>
      </c>
      <c r="I345" s="29">
        <v>104000</v>
      </c>
      <c r="J345" s="30">
        <v>78000</v>
      </c>
    </row>
    <row r="346" spans="1:10" ht="22.5">
      <c r="A346" s="3" t="s">
        <v>807</v>
      </c>
      <c r="B346" s="8">
        <v>1</v>
      </c>
      <c r="C346" s="8">
        <v>2</v>
      </c>
      <c r="D346" s="3" t="s">
        <v>43</v>
      </c>
      <c r="E346" s="14" t="s">
        <v>44</v>
      </c>
      <c r="F346" s="1" t="s">
        <v>40</v>
      </c>
      <c r="G346" s="2" t="s">
        <v>984</v>
      </c>
      <c r="H346" s="15" t="s">
        <v>423</v>
      </c>
      <c r="I346" s="29">
        <v>117380</v>
      </c>
      <c r="J346" s="30">
        <v>88035</v>
      </c>
    </row>
    <row r="347" spans="1:10" ht="22.5">
      <c r="A347" s="3" t="s">
        <v>807</v>
      </c>
      <c r="B347" s="8">
        <v>1</v>
      </c>
      <c r="C347" s="8">
        <v>2</v>
      </c>
      <c r="D347" s="3" t="s">
        <v>43</v>
      </c>
      <c r="E347" s="14" t="s">
        <v>44</v>
      </c>
      <c r="F347" s="3" t="s">
        <v>429</v>
      </c>
      <c r="G347" s="2" t="s">
        <v>983</v>
      </c>
      <c r="H347" s="15" t="s">
        <v>423</v>
      </c>
      <c r="I347" s="29">
        <v>456730</v>
      </c>
      <c r="J347" s="30">
        <v>342547.5</v>
      </c>
    </row>
    <row r="348" spans="1:10" ht="22.5">
      <c r="A348" s="3" t="s">
        <v>807</v>
      </c>
      <c r="B348" s="8">
        <v>1</v>
      </c>
      <c r="C348" s="8">
        <v>2</v>
      </c>
      <c r="D348" s="3" t="s">
        <v>43</v>
      </c>
      <c r="E348" s="14" t="s">
        <v>44</v>
      </c>
      <c r="F348" s="1" t="s">
        <v>425</v>
      </c>
      <c r="G348" s="8" t="s">
        <v>984</v>
      </c>
      <c r="H348" s="15" t="s">
        <v>423</v>
      </c>
      <c r="I348" s="29">
        <f>107856+1187.76</f>
        <v>109043.76</v>
      </c>
      <c r="J348" s="30">
        <v>81782.81999999999</v>
      </c>
    </row>
    <row r="349" spans="1:10" ht="22.5">
      <c r="A349" s="3" t="s">
        <v>807</v>
      </c>
      <c r="B349" s="8">
        <v>1</v>
      </c>
      <c r="C349" s="8">
        <v>2</v>
      </c>
      <c r="D349" s="3" t="s">
        <v>43</v>
      </c>
      <c r="E349" s="14" t="s">
        <v>44</v>
      </c>
      <c r="F349" s="1" t="s">
        <v>285</v>
      </c>
      <c r="G349" s="2" t="s">
        <v>984</v>
      </c>
      <c r="H349" s="15" t="s">
        <v>423</v>
      </c>
      <c r="I349" s="29">
        <v>100746.67</v>
      </c>
      <c r="J349" s="30">
        <v>75560.0025</v>
      </c>
    </row>
    <row r="350" spans="1:10" ht="22.5">
      <c r="A350" s="3" t="s">
        <v>807</v>
      </c>
      <c r="B350" s="8">
        <v>1</v>
      </c>
      <c r="C350" s="8">
        <v>2</v>
      </c>
      <c r="D350" s="3" t="s">
        <v>43</v>
      </c>
      <c r="E350" s="14" t="s">
        <v>44</v>
      </c>
      <c r="F350" s="1" t="s">
        <v>543</v>
      </c>
      <c r="G350" s="2" t="s">
        <v>984</v>
      </c>
      <c r="H350" s="15" t="s">
        <v>423</v>
      </c>
      <c r="I350" s="29">
        <f>117000+12.14</f>
        <v>117012.14</v>
      </c>
      <c r="J350" s="30">
        <v>87759.105</v>
      </c>
    </row>
    <row r="351" spans="1:10" ht="22.5">
      <c r="A351" s="3" t="s">
        <v>807</v>
      </c>
      <c r="B351" s="8">
        <v>1</v>
      </c>
      <c r="C351" s="8">
        <v>2</v>
      </c>
      <c r="D351" s="3" t="s">
        <v>43</v>
      </c>
      <c r="E351" s="14" t="s">
        <v>44</v>
      </c>
      <c r="F351" s="1" t="s">
        <v>428</v>
      </c>
      <c r="G351" s="8" t="s">
        <v>983</v>
      </c>
      <c r="H351" s="15" t="s">
        <v>423</v>
      </c>
      <c r="I351" s="29">
        <v>394000</v>
      </c>
      <c r="J351" s="30">
        <v>295500</v>
      </c>
    </row>
    <row r="352" spans="1:10" ht="33.75">
      <c r="A352" s="3" t="s">
        <v>807</v>
      </c>
      <c r="B352" s="8">
        <v>1</v>
      </c>
      <c r="C352" s="8">
        <v>2</v>
      </c>
      <c r="D352" s="3" t="s">
        <v>43</v>
      </c>
      <c r="E352" s="14" t="s">
        <v>44</v>
      </c>
      <c r="F352" s="1" t="s">
        <v>647</v>
      </c>
      <c r="G352" s="8" t="s">
        <v>984</v>
      </c>
      <c r="H352" s="15" t="s">
        <v>423</v>
      </c>
      <c r="I352" s="29">
        <v>121651</v>
      </c>
      <c r="J352" s="30">
        <v>91238.25</v>
      </c>
    </row>
    <row r="353" spans="1:10" ht="22.5">
      <c r="A353" s="24" t="s">
        <v>807</v>
      </c>
      <c r="B353" s="6">
        <v>1</v>
      </c>
      <c r="C353" s="6">
        <v>2</v>
      </c>
      <c r="D353" s="33" t="s">
        <v>43</v>
      </c>
      <c r="E353" s="24" t="s">
        <v>44</v>
      </c>
      <c r="F353" s="24"/>
      <c r="G353" s="6"/>
      <c r="H353" s="6"/>
      <c r="I353" s="34">
        <f>SUBTOTAL(9,I340:I352)</f>
        <v>3565341.05</v>
      </c>
      <c r="J353" s="34">
        <v>2674005.7874999996</v>
      </c>
    </row>
    <row r="354" spans="1:10" ht="33.75">
      <c r="A354" s="3" t="s">
        <v>563</v>
      </c>
      <c r="B354" s="8">
        <v>1</v>
      </c>
      <c r="C354" s="8">
        <v>2</v>
      </c>
      <c r="D354" s="3" t="s">
        <v>131</v>
      </c>
      <c r="E354" s="14" t="s">
        <v>132</v>
      </c>
      <c r="F354" s="1" t="s">
        <v>829</v>
      </c>
      <c r="G354" s="2" t="s">
        <v>983</v>
      </c>
      <c r="H354" s="15" t="s">
        <v>423</v>
      </c>
      <c r="I354" s="31">
        <v>625000</v>
      </c>
      <c r="J354" s="30">
        <v>468750</v>
      </c>
    </row>
    <row r="355" spans="1:10" ht="33.75">
      <c r="A355" s="3" t="s">
        <v>563</v>
      </c>
      <c r="B355" s="8">
        <v>1</v>
      </c>
      <c r="C355" s="8">
        <v>2</v>
      </c>
      <c r="D355" s="3" t="s">
        <v>131</v>
      </c>
      <c r="E355" s="14" t="s">
        <v>132</v>
      </c>
      <c r="F355" s="4" t="s">
        <v>535</v>
      </c>
      <c r="G355" s="2" t="s">
        <v>983</v>
      </c>
      <c r="H355" s="15" t="s">
        <v>330</v>
      </c>
      <c r="I355" s="31">
        <f>2500000-250.4-4820.16</f>
        <v>2494929.44</v>
      </c>
      <c r="J355" s="30">
        <v>1871197.08</v>
      </c>
    </row>
    <row r="356" spans="1:10" ht="33.75">
      <c r="A356" s="3" t="s">
        <v>563</v>
      </c>
      <c r="B356" s="8">
        <v>1</v>
      </c>
      <c r="C356" s="8">
        <v>2</v>
      </c>
      <c r="D356" s="3" t="s">
        <v>131</v>
      </c>
      <c r="E356" s="14" t="s">
        <v>132</v>
      </c>
      <c r="F356" s="1" t="s">
        <v>344</v>
      </c>
      <c r="G356" s="2" t="s">
        <v>984</v>
      </c>
      <c r="H356" s="15" t="s">
        <v>423</v>
      </c>
      <c r="I356" s="31">
        <v>306666.67</v>
      </c>
      <c r="J356" s="30">
        <v>230000.0025</v>
      </c>
    </row>
    <row r="357" spans="1:10" ht="33.75">
      <c r="A357" s="3" t="s">
        <v>563</v>
      </c>
      <c r="B357" s="8">
        <v>1</v>
      </c>
      <c r="C357" s="8">
        <v>2</v>
      </c>
      <c r="D357" s="3" t="s">
        <v>131</v>
      </c>
      <c r="E357" s="14" t="s">
        <v>132</v>
      </c>
      <c r="F357" s="1" t="s">
        <v>819</v>
      </c>
      <c r="G357" s="2" t="s">
        <v>984</v>
      </c>
      <c r="H357" s="15" t="s">
        <v>423</v>
      </c>
      <c r="I357" s="31">
        <v>146666.67</v>
      </c>
      <c r="J357" s="30">
        <v>110000.0025</v>
      </c>
    </row>
    <row r="358" spans="1:10" ht="33.75">
      <c r="A358" s="3" t="s">
        <v>563</v>
      </c>
      <c r="B358" s="8">
        <v>1</v>
      </c>
      <c r="C358" s="8">
        <v>2</v>
      </c>
      <c r="D358" s="3" t="s">
        <v>131</v>
      </c>
      <c r="E358" s="14" t="s">
        <v>132</v>
      </c>
      <c r="F358" s="1" t="s">
        <v>391</v>
      </c>
      <c r="G358" s="2" t="s">
        <v>984</v>
      </c>
      <c r="H358" s="15" t="s">
        <v>423</v>
      </c>
      <c r="I358" s="31">
        <v>306666.67</v>
      </c>
      <c r="J358" s="30">
        <v>230000.0025</v>
      </c>
    </row>
    <row r="359" spans="1:10" ht="33.75">
      <c r="A359" s="3" t="s">
        <v>563</v>
      </c>
      <c r="B359" s="8">
        <v>1</v>
      </c>
      <c r="C359" s="8">
        <v>2</v>
      </c>
      <c r="D359" s="3" t="s">
        <v>131</v>
      </c>
      <c r="E359" s="14" t="s">
        <v>132</v>
      </c>
      <c r="F359" s="1" t="s">
        <v>823</v>
      </c>
      <c r="G359" s="2" t="s">
        <v>984</v>
      </c>
      <c r="H359" s="15" t="s">
        <v>423</v>
      </c>
      <c r="I359" s="31">
        <v>146666.67</v>
      </c>
      <c r="J359" s="30">
        <v>110000.0025</v>
      </c>
    </row>
    <row r="360" spans="1:10" ht="33.75">
      <c r="A360" s="3" t="s">
        <v>563</v>
      </c>
      <c r="B360" s="8">
        <v>1</v>
      </c>
      <c r="C360" s="8">
        <v>2</v>
      </c>
      <c r="D360" s="3" t="s">
        <v>131</v>
      </c>
      <c r="E360" s="14" t="s">
        <v>132</v>
      </c>
      <c r="F360" s="1" t="s">
        <v>390</v>
      </c>
      <c r="G360" s="2" t="s">
        <v>984</v>
      </c>
      <c r="H360" s="15" t="s">
        <v>423</v>
      </c>
      <c r="I360" s="31">
        <v>400000</v>
      </c>
      <c r="J360" s="30">
        <v>300000</v>
      </c>
    </row>
    <row r="361" spans="1:10" ht="33.75">
      <c r="A361" s="3" t="s">
        <v>563</v>
      </c>
      <c r="B361" s="8">
        <v>1</v>
      </c>
      <c r="C361" s="8">
        <v>2</v>
      </c>
      <c r="D361" s="3" t="s">
        <v>131</v>
      </c>
      <c r="E361" s="14" t="s">
        <v>132</v>
      </c>
      <c r="F361" s="1" t="s">
        <v>389</v>
      </c>
      <c r="G361" s="2" t="s">
        <v>984</v>
      </c>
      <c r="H361" s="15" t="s">
        <v>423</v>
      </c>
      <c r="I361" s="31">
        <v>146666.67</v>
      </c>
      <c r="J361" s="30">
        <v>110000.0025</v>
      </c>
    </row>
    <row r="362" spans="1:10" ht="33.75">
      <c r="A362" s="3" t="s">
        <v>563</v>
      </c>
      <c r="B362" s="8">
        <v>1</v>
      </c>
      <c r="C362" s="8">
        <v>2</v>
      </c>
      <c r="D362" s="3" t="s">
        <v>131</v>
      </c>
      <c r="E362" s="14" t="s">
        <v>132</v>
      </c>
      <c r="F362" s="1" t="s">
        <v>820</v>
      </c>
      <c r="G362" s="2" t="s">
        <v>984</v>
      </c>
      <c r="H362" s="15" t="s">
        <v>423</v>
      </c>
      <c r="I362" s="31">
        <v>296250</v>
      </c>
      <c r="J362" s="30">
        <v>222187.5</v>
      </c>
    </row>
    <row r="363" spans="1:10" ht="33.75">
      <c r="A363" s="3" t="s">
        <v>563</v>
      </c>
      <c r="B363" s="8">
        <v>1</v>
      </c>
      <c r="C363" s="8">
        <v>2</v>
      </c>
      <c r="D363" s="3" t="s">
        <v>131</v>
      </c>
      <c r="E363" s="14" t="s">
        <v>132</v>
      </c>
      <c r="F363" s="1" t="s">
        <v>392</v>
      </c>
      <c r="G363" s="2" t="s">
        <v>984</v>
      </c>
      <c r="H363" s="15" t="s">
        <v>423</v>
      </c>
      <c r="I363" s="31">
        <v>400000</v>
      </c>
      <c r="J363" s="30">
        <v>300000</v>
      </c>
    </row>
    <row r="364" spans="1:10" ht="33.75">
      <c r="A364" s="3" t="s">
        <v>563</v>
      </c>
      <c r="B364" s="8">
        <v>1</v>
      </c>
      <c r="C364" s="8">
        <v>2</v>
      </c>
      <c r="D364" s="3" t="s">
        <v>131</v>
      </c>
      <c r="E364" s="14" t="s">
        <v>132</v>
      </c>
      <c r="F364" s="1" t="s">
        <v>345</v>
      </c>
      <c r="G364" s="2" t="s">
        <v>984</v>
      </c>
      <c r="H364" s="15" t="s">
        <v>423</v>
      </c>
      <c r="I364" s="31">
        <f>333333.33+364367.1</f>
        <v>697700.4299999999</v>
      </c>
      <c r="J364" s="30">
        <v>523275.32249999995</v>
      </c>
    </row>
    <row r="365" spans="1:10" ht="33.75">
      <c r="A365" s="3" t="s">
        <v>563</v>
      </c>
      <c r="B365" s="8">
        <v>1</v>
      </c>
      <c r="C365" s="8">
        <v>2</v>
      </c>
      <c r="D365" s="3" t="s">
        <v>131</v>
      </c>
      <c r="E365" s="14" t="s">
        <v>132</v>
      </c>
      <c r="F365" s="1" t="s">
        <v>342</v>
      </c>
      <c r="G365" s="2" t="s">
        <v>983</v>
      </c>
      <c r="H365" s="15" t="s">
        <v>423</v>
      </c>
      <c r="I365" s="31">
        <f>625000+681.71</f>
        <v>625681.71</v>
      </c>
      <c r="J365" s="30">
        <v>469261.2825</v>
      </c>
    </row>
    <row r="366" spans="1:10" ht="33.75">
      <c r="A366" s="3" t="s">
        <v>563</v>
      </c>
      <c r="B366" s="8">
        <v>1</v>
      </c>
      <c r="C366" s="8">
        <v>2</v>
      </c>
      <c r="D366" s="3" t="s">
        <v>131</v>
      </c>
      <c r="E366" s="14" t="s">
        <v>132</v>
      </c>
      <c r="F366" s="1" t="s">
        <v>130</v>
      </c>
      <c r="G366" s="2" t="s">
        <v>983</v>
      </c>
      <c r="H366" s="15" t="s">
        <v>423</v>
      </c>
      <c r="I366" s="31">
        <v>625000</v>
      </c>
      <c r="J366" s="30">
        <v>468750</v>
      </c>
    </row>
    <row r="367" spans="1:10" ht="33.75">
      <c r="A367" s="3" t="s">
        <v>563</v>
      </c>
      <c r="B367" s="8">
        <v>1</v>
      </c>
      <c r="C367" s="8">
        <v>2</v>
      </c>
      <c r="D367" s="3" t="s">
        <v>131</v>
      </c>
      <c r="E367" s="14" t="s">
        <v>132</v>
      </c>
      <c r="F367" s="1" t="s">
        <v>715</v>
      </c>
      <c r="G367" s="2" t="s">
        <v>983</v>
      </c>
      <c r="H367" s="15" t="s">
        <v>423</v>
      </c>
      <c r="I367" s="31">
        <v>625000</v>
      </c>
      <c r="J367" s="30">
        <v>468750</v>
      </c>
    </row>
    <row r="368" spans="1:10" ht="33.75">
      <c r="A368" s="24" t="s">
        <v>563</v>
      </c>
      <c r="B368" s="6">
        <v>1</v>
      </c>
      <c r="C368" s="6">
        <v>2</v>
      </c>
      <c r="D368" s="33" t="s">
        <v>131</v>
      </c>
      <c r="E368" s="24" t="s">
        <v>132</v>
      </c>
      <c r="F368" s="24"/>
      <c r="G368" s="6"/>
      <c r="H368" s="6"/>
      <c r="I368" s="34">
        <f>SUBTOTAL(9,I354:I367)</f>
        <v>7842894.929999999</v>
      </c>
      <c r="J368" s="34">
        <v>5882171.1975</v>
      </c>
    </row>
    <row r="369" spans="1:10" ht="22.5">
      <c r="A369" s="3" t="s">
        <v>565</v>
      </c>
      <c r="B369" s="8">
        <v>1</v>
      </c>
      <c r="C369" s="8">
        <v>1</v>
      </c>
      <c r="D369" s="3" t="s">
        <v>184</v>
      </c>
      <c r="E369" s="19" t="s">
        <v>185</v>
      </c>
      <c r="F369" s="9" t="s">
        <v>648</v>
      </c>
      <c r="G369" s="2" t="s">
        <v>983</v>
      </c>
      <c r="H369" s="15" t="s">
        <v>330</v>
      </c>
      <c r="I369" s="31">
        <v>46505000</v>
      </c>
      <c r="J369" s="30">
        <v>30000000</v>
      </c>
    </row>
    <row r="370" spans="1:10" ht="22.5">
      <c r="A370" s="24" t="s">
        <v>565</v>
      </c>
      <c r="B370" s="6">
        <v>1</v>
      </c>
      <c r="C370" s="6">
        <v>1</v>
      </c>
      <c r="D370" s="33" t="s">
        <v>184</v>
      </c>
      <c r="E370" s="24" t="s">
        <v>185</v>
      </c>
      <c r="F370" s="24"/>
      <c r="G370" s="6"/>
      <c r="H370" s="6"/>
      <c r="I370" s="34">
        <f>SUBTOTAL(9,I369)</f>
        <v>46505000</v>
      </c>
      <c r="J370" s="34">
        <v>30000000</v>
      </c>
    </row>
    <row r="371" spans="1:10" ht="45">
      <c r="A371" s="3" t="s">
        <v>563</v>
      </c>
      <c r="B371" s="8">
        <v>1</v>
      </c>
      <c r="C371" s="8">
        <v>3</v>
      </c>
      <c r="D371" s="3" t="s">
        <v>140</v>
      </c>
      <c r="E371" s="14" t="s">
        <v>141</v>
      </c>
      <c r="F371" s="1" t="s">
        <v>605</v>
      </c>
      <c r="G371" s="2" t="s">
        <v>984</v>
      </c>
      <c r="H371" s="15" t="s">
        <v>423</v>
      </c>
      <c r="I371" s="29">
        <v>200000</v>
      </c>
      <c r="J371" s="30">
        <v>150000</v>
      </c>
    </row>
    <row r="372" spans="1:10" ht="45">
      <c r="A372" s="3" t="s">
        <v>563</v>
      </c>
      <c r="B372" s="8">
        <v>1</v>
      </c>
      <c r="C372" s="8">
        <v>3</v>
      </c>
      <c r="D372" s="3" t="s">
        <v>140</v>
      </c>
      <c r="E372" s="14" t="s">
        <v>141</v>
      </c>
      <c r="F372" s="1" t="s">
        <v>525</v>
      </c>
      <c r="G372" s="2" t="s">
        <v>984</v>
      </c>
      <c r="H372" s="15" t="s">
        <v>423</v>
      </c>
      <c r="I372" s="29">
        <v>200000</v>
      </c>
      <c r="J372" s="30">
        <v>150000</v>
      </c>
    </row>
    <row r="373" spans="1:10" ht="45">
      <c r="A373" s="3" t="s">
        <v>563</v>
      </c>
      <c r="B373" s="8">
        <v>1</v>
      </c>
      <c r="C373" s="8">
        <v>3</v>
      </c>
      <c r="D373" s="3" t="s">
        <v>140</v>
      </c>
      <c r="E373" s="14" t="s">
        <v>141</v>
      </c>
      <c r="F373" s="1" t="s">
        <v>524</v>
      </c>
      <c r="G373" s="2" t="s">
        <v>984</v>
      </c>
      <c r="H373" s="15" t="s">
        <v>423</v>
      </c>
      <c r="I373" s="29">
        <v>133333.33</v>
      </c>
      <c r="J373" s="30">
        <v>99999.9975</v>
      </c>
    </row>
    <row r="374" spans="1:10" ht="45">
      <c r="A374" s="3" t="s">
        <v>563</v>
      </c>
      <c r="B374" s="8">
        <v>1</v>
      </c>
      <c r="C374" s="8">
        <v>3</v>
      </c>
      <c r="D374" s="3" t="s">
        <v>140</v>
      </c>
      <c r="E374" s="14" t="s">
        <v>141</v>
      </c>
      <c r="F374" s="1" t="s">
        <v>395</v>
      </c>
      <c r="G374" s="8" t="s">
        <v>984</v>
      </c>
      <c r="H374" s="15" t="s">
        <v>423</v>
      </c>
      <c r="I374" s="29">
        <v>100250</v>
      </c>
      <c r="J374" s="30">
        <v>75187.5</v>
      </c>
    </row>
    <row r="375" spans="1:10" ht="45">
      <c r="A375" s="3" t="s">
        <v>563</v>
      </c>
      <c r="B375" s="8">
        <v>1</v>
      </c>
      <c r="C375" s="8">
        <v>3</v>
      </c>
      <c r="D375" s="3" t="s">
        <v>140</v>
      </c>
      <c r="E375" s="14" t="s">
        <v>141</v>
      </c>
      <c r="F375" s="1" t="s">
        <v>526</v>
      </c>
      <c r="G375" s="8" t="s">
        <v>984</v>
      </c>
      <c r="H375" s="15" t="s">
        <v>423</v>
      </c>
      <c r="I375" s="29">
        <v>226666.67</v>
      </c>
      <c r="J375" s="30">
        <v>170000.0025</v>
      </c>
    </row>
    <row r="376" spans="1:10" ht="45">
      <c r="A376" s="3" t="s">
        <v>563</v>
      </c>
      <c r="B376" s="8">
        <v>1</v>
      </c>
      <c r="C376" s="8">
        <v>3</v>
      </c>
      <c r="D376" s="3" t="s">
        <v>140</v>
      </c>
      <c r="E376" s="14" t="s">
        <v>141</v>
      </c>
      <c r="F376" s="1" t="s">
        <v>655</v>
      </c>
      <c r="G376" s="8" t="s">
        <v>984</v>
      </c>
      <c r="H376" s="15" t="s">
        <v>423</v>
      </c>
      <c r="I376" s="29">
        <v>100009</v>
      </c>
      <c r="J376" s="30">
        <v>75006.75</v>
      </c>
    </row>
    <row r="377" spans="1:10" ht="45">
      <c r="A377" s="3" t="s">
        <v>563</v>
      </c>
      <c r="B377" s="8">
        <v>1</v>
      </c>
      <c r="C377" s="8">
        <v>3</v>
      </c>
      <c r="D377" s="3" t="s">
        <v>140</v>
      </c>
      <c r="E377" s="14" t="s">
        <v>141</v>
      </c>
      <c r="F377" s="1" t="s">
        <v>658</v>
      </c>
      <c r="G377" s="8" t="s">
        <v>984</v>
      </c>
      <c r="H377" s="15" t="s">
        <v>423</v>
      </c>
      <c r="I377" s="29">
        <v>100000</v>
      </c>
      <c r="J377" s="30">
        <v>75000</v>
      </c>
    </row>
    <row r="378" spans="1:10" ht="45">
      <c r="A378" s="3" t="s">
        <v>563</v>
      </c>
      <c r="B378" s="8">
        <v>1</v>
      </c>
      <c r="C378" s="8">
        <v>3</v>
      </c>
      <c r="D378" s="3" t="s">
        <v>140</v>
      </c>
      <c r="E378" s="14" t="s">
        <v>141</v>
      </c>
      <c r="F378" s="5" t="s">
        <v>689</v>
      </c>
      <c r="G378" s="2" t="s">
        <v>983</v>
      </c>
      <c r="H378" s="15" t="s">
        <v>330</v>
      </c>
      <c r="I378" s="29">
        <v>1721000</v>
      </c>
      <c r="J378" s="30">
        <v>1290750</v>
      </c>
    </row>
    <row r="379" spans="1:10" ht="45">
      <c r="A379" s="24" t="s">
        <v>563</v>
      </c>
      <c r="B379" s="6">
        <v>1</v>
      </c>
      <c r="C379" s="6">
        <v>3</v>
      </c>
      <c r="D379" s="33" t="s">
        <v>140</v>
      </c>
      <c r="E379" s="24" t="s">
        <v>141</v>
      </c>
      <c r="F379" s="24"/>
      <c r="G379" s="6"/>
      <c r="H379" s="6"/>
      <c r="I379" s="34">
        <f>SUBTOTAL(9,I371:I378)</f>
        <v>2781259</v>
      </c>
      <c r="J379" s="34">
        <v>2085944.25</v>
      </c>
    </row>
    <row r="380" spans="1:10" ht="33.75">
      <c r="A380" s="3" t="s">
        <v>563</v>
      </c>
      <c r="B380" s="8">
        <v>1</v>
      </c>
      <c r="C380" s="8">
        <v>1</v>
      </c>
      <c r="D380" s="3" t="s">
        <v>121</v>
      </c>
      <c r="E380" s="14" t="s">
        <v>122</v>
      </c>
      <c r="F380" s="1" t="s">
        <v>605</v>
      </c>
      <c r="G380" s="2" t="s">
        <v>984</v>
      </c>
      <c r="H380" s="15" t="s">
        <v>423</v>
      </c>
      <c r="I380" s="29">
        <v>133333.33</v>
      </c>
      <c r="J380" s="30">
        <v>99999.9975</v>
      </c>
    </row>
    <row r="381" spans="1:10" ht="33.75">
      <c r="A381" s="3" t="s">
        <v>563</v>
      </c>
      <c r="B381" s="8">
        <v>1</v>
      </c>
      <c r="C381" s="8">
        <v>1</v>
      </c>
      <c r="D381" s="3" t="s">
        <v>121</v>
      </c>
      <c r="E381" s="14" t="s">
        <v>122</v>
      </c>
      <c r="F381" s="1" t="s">
        <v>525</v>
      </c>
      <c r="G381" s="2" t="s">
        <v>984</v>
      </c>
      <c r="H381" s="15" t="s">
        <v>423</v>
      </c>
      <c r="I381" s="29">
        <v>100000</v>
      </c>
      <c r="J381" s="30">
        <v>75000</v>
      </c>
    </row>
    <row r="382" spans="1:10" ht="33.75">
      <c r="A382" s="3" t="s">
        <v>563</v>
      </c>
      <c r="B382" s="8">
        <v>1</v>
      </c>
      <c r="C382" s="8">
        <v>1</v>
      </c>
      <c r="D382" s="3" t="s">
        <v>121</v>
      </c>
      <c r="E382" s="14" t="s">
        <v>122</v>
      </c>
      <c r="F382" s="1" t="s">
        <v>524</v>
      </c>
      <c r="G382" s="2" t="s">
        <v>984</v>
      </c>
      <c r="H382" s="15" t="s">
        <v>423</v>
      </c>
      <c r="I382" s="29">
        <v>100000</v>
      </c>
      <c r="J382" s="30">
        <v>75000</v>
      </c>
    </row>
    <row r="383" spans="1:10" ht="33.75">
      <c r="A383" s="3" t="s">
        <v>563</v>
      </c>
      <c r="B383" s="8">
        <v>1</v>
      </c>
      <c r="C383" s="8">
        <v>1</v>
      </c>
      <c r="D383" s="3" t="s">
        <v>121</v>
      </c>
      <c r="E383" s="14" t="s">
        <v>122</v>
      </c>
      <c r="F383" s="1" t="s">
        <v>526</v>
      </c>
      <c r="G383" s="8" t="s">
        <v>984</v>
      </c>
      <c r="H383" s="15" t="s">
        <v>423</v>
      </c>
      <c r="I383" s="29">
        <v>415036.52</v>
      </c>
      <c r="J383" s="30">
        <v>311277.39</v>
      </c>
    </row>
    <row r="384" spans="1:10" ht="33.75">
      <c r="A384" s="3" t="s">
        <v>563</v>
      </c>
      <c r="B384" s="8">
        <v>1</v>
      </c>
      <c r="C384" s="8">
        <v>1</v>
      </c>
      <c r="D384" s="3" t="s">
        <v>121</v>
      </c>
      <c r="E384" s="14" t="s">
        <v>122</v>
      </c>
      <c r="F384" s="1" t="s">
        <v>744</v>
      </c>
      <c r="G384" s="2" t="s">
        <v>984</v>
      </c>
      <c r="H384" s="15" t="s">
        <v>423</v>
      </c>
      <c r="I384" s="29">
        <v>100000</v>
      </c>
      <c r="J384" s="30">
        <v>75000</v>
      </c>
    </row>
    <row r="385" spans="1:10" ht="33.75">
      <c r="A385" s="3" t="s">
        <v>563</v>
      </c>
      <c r="B385" s="8">
        <v>1</v>
      </c>
      <c r="C385" s="8">
        <v>1</v>
      </c>
      <c r="D385" s="3" t="s">
        <v>121</v>
      </c>
      <c r="E385" s="14" t="s">
        <v>122</v>
      </c>
      <c r="F385" s="1" t="s">
        <v>753</v>
      </c>
      <c r="G385" s="8" t="s">
        <v>984</v>
      </c>
      <c r="H385" s="15" t="s">
        <v>423</v>
      </c>
      <c r="I385" s="29">
        <v>100000</v>
      </c>
      <c r="J385" s="30">
        <v>75000</v>
      </c>
    </row>
    <row r="386" spans="1:10" ht="33.75">
      <c r="A386" s="3" t="s">
        <v>563</v>
      </c>
      <c r="B386" s="8">
        <v>1</v>
      </c>
      <c r="C386" s="8">
        <v>1</v>
      </c>
      <c r="D386" s="3" t="s">
        <v>121</v>
      </c>
      <c r="E386" s="14" t="s">
        <v>122</v>
      </c>
      <c r="F386" s="1" t="s">
        <v>751</v>
      </c>
      <c r="G386" s="8" t="s">
        <v>984</v>
      </c>
      <c r="H386" s="15" t="s">
        <v>423</v>
      </c>
      <c r="I386" s="29">
        <v>100000</v>
      </c>
      <c r="J386" s="30">
        <v>75000</v>
      </c>
    </row>
    <row r="387" spans="1:10" ht="45">
      <c r="A387" s="3" t="s">
        <v>563</v>
      </c>
      <c r="B387" s="8">
        <v>1</v>
      </c>
      <c r="C387" s="8">
        <v>1</v>
      </c>
      <c r="D387" s="3" t="s">
        <v>121</v>
      </c>
      <c r="E387" s="14" t="s">
        <v>122</v>
      </c>
      <c r="F387" s="5" t="s">
        <v>997</v>
      </c>
      <c r="G387" s="2" t="s">
        <v>983</v>
      </c>
      <c r="H387" s="15" t="s">
        <v>330</v>
      </c>
      <c r="I387" s="29">
        <v>2000000</v>
      </c>
      <c r="J387" s="30">
        <v>1500000</v>
      </c>
    </row>
    <row r="388" spans="1:10" ht="33.75">
      <c r="A388" s="24" t="s">
        <v>563</v>
      </c>
      <c r="B388" s="6">
        <v>1</v>
      </c>
      <c r="C388" s="6">
        <v>1</v>
      </c>
      <c r="D388" s="33" t="s">
        <v>121</v>
      </c>
      <c r="E388" s="24" t="s">
        <v>122</v>
      </c>
      <c r="F388" s="24"/>
      <c r="G388" s="6"/>
      <c r="H388" s="6"/>
      <c r="I388" s="34">
        <f>SUBTOTAL(9,I380:I387)</f>
        <v>3048369.85</v>
      </c>
      <c r="J388" s="34">
        <v>2286277.3875</v>
      </c>
    </row>
    <row r="389" spans="1:10" ht="33.75">
      <c r="A389" s="3" t="s">
        <v>563</v>
      </c>
      <c r="B389" s="8">
        <v>1</v>
      </c>
      <c r="C389" s="8">
        <v>1</v>
      </c>
      <c r="D389" s="3" t="s">
        <v>998</v>
      </c>
      <c r="E389" s="14" t="s">
        <v>133</v>
      </c>
      <c r="F389" s="5" t="s">
        <v>649</v>
      </c>
      <c r="G389" s="2" t="s">
        <v>984</v>
      </c>
      <c r="H389" s="15" t="s">
        <v>330</v>
      </c>
      <c r="I389" s="29">
        <f>93617.02-30000</f>
        <v>63617.020000000004</v>
      </c>
      <c r="J389" s="30">
        <v>47712.765</v>
      </c>
    </row>
    <row r="390" spans="1:10" ht="33.75">
      <c r="A390" s="3" t="s">
        <v>563</v>
      </c>
      <c r="B390" s="8">
        <v>1</v>
      </c>
      <c r="C390" s="8">
        <v>1</v>
      </c>
      <c r="D390" s="3" t="s">
        <v>998</v>
      </c>
      <c r="E390" s="14" t="s">
        <v>133</v>
      </c>
      <c r="F390" s="3" t="s">
        <v>299</v>
      </c>
      <c r="G390" s="2" t="s">
        <v>984</v>
      </c>
      <c r="H390" s="15" t="s">
        <v>423</v>
      </c>
      <c r="I390" s="29">
        <f>106382.98-63107.01</f>
        <v>43275.969999999994</v>
      </c>
      <c r="J390" s="30">
        <v>32456.977499999994</v>
      </c>
    </row>
    <row r="391" spans="1:10" ht="33.75">
      <c r="A391" s="3" t="s">
        <v>563</v>
      </c>
      <c r="B391" s="8">
        <v>1</v>
      </c>
      <c r="C391" s="8"/>
      <c r="D391" s="3" t="s">
        <v>998</v>
      </c>
      <c r="E391" s="14" t="s">
        <v>133</v>
      </c>
      <c r="F391" s="3" t="s">
        <v>276</v>
      </c>
      <c r="G391" s="2" t="s">
        <v>984</v>
      </c>
      <c r="H391" s="15" t="s">
        <v>423</v>
      </c>
      <c r="I391" s="29">
        <v>30000</v>
      </c>
      <c r="J391" s="30">
        <v>22500</v>
      </c>
    </row>
    <row r="392" spans="1:10" ht="33.75">
      <c r="A392" s="3" t="s">
        <v>563</v>
      </c>
      <c r="B392" s="8">
        <v>1</v>
      </c>
      <c r="C392" s="8"/>
      <c r="D392" s="3" t="s">
        <v>998</v>
      </c>
      <c r="E392" s="14" t="s">
        <v>133</v>
      </c>
      <c r="F392" s="3" t="s">
        <v>422</v>
      </c>
      <c r="G392" s="2" t="s">
        <v>984</v>
      </c>
      <c r="H392" s="15" t="s">
        <v>423</v>
      </c>
      <c r="I392" s="29">
        <f>67107.01</f>
        <v>67107.01</v>
      </c>
      <c r="J392" s="30">
        <v>50330.25749999999</v>
      </c>
    </row>
    <row r="393" spans="1:10" ht="33.75">
      <c r="A393" s="3" t="s">
        <v>563</v>
      </c>
      <c r="B393" s="8">
        <v>1</v>
      </c>
      <c r="C393" s="8">
        <v>1</v>
      </c>
      <c r="D393" s="3" t="s">
        <v>998</v>
      </c>
      <c r="E393" s="14" t="s">
        <v>133</v>
      </c>
      <c r="F393" s="3" t="s">
        <v>607</v>
      </c>
      <c r="G393" s="2" t="s">
        <v>983</v>
      </c>
      <c r="H393" s="15" t="s">
        <v>423</v>
      </c>
      <c r="I393" s="29">
        <v>483300</v>
      </c>
      <c r="J393" s="30">
        <v>362475</v>
      </c>
    </row>
    <row r="394" spans="1:10" ht="33.75">
      <c r="A394" s="24" t="s">
        <v>563</v>
      </c>
      <c r="B394" s="6">
        <v>1</v>
      </c>
      <c r="C394" s="6">
        <v>1</v>
      </c>
      <c r="D394" s="33" t="str">
        <f>D393</f>
        <v>0319_PEGLA_1_4_P</v>
      </c>
      <c r="E394" s="24" t="s">
        <v>133</v>
      </c>
      <c r="F394" s="24"/>
      <c r="G394" s="6"/>
      <c r="H394" s="6"/>
      <c r="I394" s="34">
        <f>SUBTOTAL(9,I389:I393)</f>
        <v>687300</v>
      </c>
      <c r="J394" s="34">
        <v>515475</v>
      </c>
    </row>
    <row r="395" spans="1:10" ht="33.75">
      <c r="A395" s="3" t="s">
        <v>563</v>
      </c>
      <c r="B395" s="8">
        <v>1</v>
      </c>
      <c r="C395" s="8">
        <v>2</v>
      </c>
      <c r="D395" s="3" t="s">
        <v>999</v>
      </c>
      <c r="E395" s="14" t="s">
        <v>133</v>
      </c>
      <c r="F395" s="1" t="s">
        <v>829</v>
      </c>
      <c r="G395" s="2" t="s">
        <v>983</v>
      </c>
      <c r="H395" s="15" t="s">
        <v>423</v>
      </c>
      <c r="I395" s="29">
        <v>400000</v>
      </c>
      <c r="J395" s="30">
        <v>300000</v>
      </c>
    </row>
    <row r="396" spans="1:10" ht="33.75">
      <c r="A396" s="3" t="s">
        <v>563</v>
      </c>
      <c r="B396" s="8">
        <v>1</v>
      </c>
      <c r="C396" s="8">
        <v>2</v>
      </c>
      <c r="D396" s="3" t="s">
        <v>999</v>
      </c>
      <c r="E396" s="14" t="s">
        <v>133</v>
      </c>
      <c r="F396" s="3" t="s">
        <v>607</v>
      </c>
      <c r="G396" s="2" t="s">
        <v>983</v>
      </c>
      <c r="H396" s="15" t="s">
        <v>423</v>
      </c>
      <c r="I396" s="29">
        <v>470700</v>
      </c>
      <c r="J396" s="30">
        <v>353025</v>
      </c>
    </row>
    <row r="397" spans="1:10" ht="33.75">
      <c r="A397" s="3" t="s">
        <v>563</v>
      </c>
      <c r="B397" s="8">
        <v>1</v>
      </c>
      <c r="C397" s="8">
        <v>2</v>
      </c>
      <c r="D397" s="3" t="s">
        <v>999</v>
      </c>
      <c r="E397" s="14" t="s">
        <v>133</v>
      </c>
      <c r="F397" s="3" t="s">
        <v>600</v>
      </c>
      <c r="G397" s="2" t="s">
        <v>983</v>
      </c>
      <c r="H397" s="15" t="s">
        <v>423</v>
      </c>
      <c r="I397" s="29">
        <v>100000</v>
      </c>
      <c r="J397" s="30">
        <v>75000</v>
      </c>
    </row>
    <row r="398" spans="1:10" ht="33.75">
      <c r="A398" s="3" t="s">
        <v>563</v>
      </c>
      <c r="B398" s="8">
        <v>1</v>
      </c>
      <c r="C398" s="8">
        <v>2</v>
      </c>
      <c r="D398" s="3" t="s">
        <v>999</v>
      </c>
      <c r="E398" s="14" t="s">
        <v>133</v>
      </c>
      <c r="F398" s="3" t="s">
        <v>134</v>
      </c>
      <c r="G398" s="2" t="s">
        <v>983</v>
      </c>
      <c r="H398" s="15" t="s">
        <v>423</v>
      </c>
      <c r="I398" s="31">
        <v>0</v>
      </c>
      <c r="J398" s="30">
        <v>0</v>
      </c>
    </row>
    <row r="399" spans="1:10" ht="33.75">
      <c r="A399" s="3" t="s">
        <v>563</v>
      </c>
      <c r="B399" s="8">
        <v>1</v>
      </c>
      <c r="C399" s="8">
        <v>2</v>
      </c>
      <c r="D399" s="3" t="s">
        <v>999</v>
      </c>
      <c r="E399" s="14" t="s">
        <v>133</v>
      </c>
      <c r="F399" s="3" t="s">
        <v>453</v>
      </c>
      <c r="G399" s="2" t="s">
        <v>983</v>
      </c>
      <c r="H399" s="15" t="s">
        <v>423</v>
      </c>
      <c r="I399" s="29">
        <v>131917.52</v>
      </c>
      <c r="J399" s="30">
        <v>98938.13999999998</v>
      </c>
    </row>
    <row r="400" spans="1:10" ht="33.75">
      <c r="A400" s="3" t="s">
        <v>563</v>
      </c>
      <c r="B400" s="8">
        <v>1</v>
      </c>
      <c r="C400" s="8">
        <v>2</v>
      </c>
      <c r="D400" s="3" t="s">
        <v>999</v>
      </c>
      <c r="E400" s="14" t="s">
        <v>133</v>
      </c>
      <c r="F400" s="3" t="s">
        <v>454</v>
      </c>
      <c r="G400" s="2" t="s">
        <v>983</v>
      </c>
      <c r="H400" s="15" t="s">
        <v>423</v>
      </c>
      <c r="I400" s="29">
        <v>239430.39</v>
      </c>
      <c r="J400" s="30">
        <v>179572.7925</v>
      </c>
    </row>
    <row r="401" spans="1:10" ht="33.75">
      <c r="A401" s="3" t="s">
        <v>563</v>
      </c>
      <c r="B401" s="8">
        <v>1</v>
      </c>
      <c r="C401" s="8">
        <v>2</v>
      </c>
      <c r="D401" s="3" t="s">
        <v>999</v>
      </c>
      <c r="E401" s="14" t="s">
        <v>133</v>
      </c>
      <c r="F401" s="3" t="s">
        <v>1000</v>
      </c>
      <c r="G401" s="2" t="s">
        <v>983</v>
      </c>
      <c r="H401" s="15" t="s">
        <v>423</v>
      </c>
      <c r="I401" s="29">
        <v>240000</v>
      </c>
      <c r="J401" s="30">
        <v>180000</v>
      </c>
    </row>
    <row r="402" spans="1:10" ht="33.75">
      <c r="A402" s="3" t="s">
        <v>563</v>
      </c>
      <c r="B402" s="8">
        <v>1</v>
      </c>
      <c r="C402" s="8">
        <v>2</v>
      </c>
      <c r="D402" s="3" t="s">
        <v>999</v>
      </c>
      <c r="E402" s="14" t="s">
        <v>133</v>
      </c>
      <c r="F402" s="3" t="s">
        <v>455</v>
      </c>
      <c r="G402" s="2" t="s">
        <v>984</v>
      </c>
      <c r="H402" s="15" t="s">
        <v>423</v>
      </c>
      <c r="I402" s="29">
        <v>120060.8</v>
      </c>
      <c r="J402" s="30">
        <v>90045.6</v>
      </c>
    </row>
    <row r="403" spans="1:10" ht="33.75">
      <c r="A403" s="3" t="s">
        <v>563</v>
      </c>
      <c r="B403" s="8">
        <v>1</v>
      </c>
      <c r="C403" s="8">
        <v>2</v>
      </c>
      <c r="D403" s="3" t="s">
        <v>999</v>
      </c>
      <c r="E403" s="14" t="s">
        <v>133</v>
      </c>
      <c r="F403" s="3" t="s">
        <v>399</v>
      </c>
      <c r="G403" s="2" t="s">
        <v>984</v>
      </c>
      <c r="H403" s="15" t="s">
        <v>423</v>
      </c>
      <c r="I403" s="29">
        <v>76412.29</v>
      </c>
      <c r="J403" s="30">
        <v>57309.2175</v>
      </c>
    </row>
    <row r="404" spans="1:10" ht="33.75">
      <c r="A404" s="3" t="s">
        <v>563</v>
      </c>
      <c r="B404" s="8">
        <v>1</v>
      </c>
      <c r="C404" s="8">
        <v>2</v>
      </c>
      <c r="D404" s="3" t="s">
        <v>999</v>
      </c>
      <c r="E404" s="14" t="s">
        <v>133</v>
      </c>
      <c r="F404" s="3" t="s">
        <v>421</v>
      </c>
      <c r="G404" s="2" t="s">
        <v>984</v>
      </c>
      <c r="H404" s="15" t="s">
        <v>423</v>
      </c>
      <c r="I404" s="29">
        <v>123145.56</v>
      </c>
      <c r="J404" s="30">
        <v>92359.17</v>
      </c>
    </row>
    <row r="405" spans="1:10" ht="33.75">
      <c r="A405" s="3" t="s">
        <v>563</v>
      </c>
      <c r="B405" s="8">
        <v>1</v>
      </c>
      <c r="C405" s="8">
        <v>2</v>
      </c>
      <c r="D405" s="3" t="s">
        <v>999</v>
      </c>
      <c r="E405" s="14" t="s">
        <v>133</v>
      </c>
      <c r="F405" s="3" t="s">
        <v>422</v>
      </c>
      <c r="G405" s="2" t="s">
        <v>984</v>
      </c>
      <c r="H405" s="15" t="s">
        <v>423</v>
      </c>
      <c r="I405" s="29">
        <v>172340.43</v>
      </c>
      <c r="J405" s="30">
        <v>129255.3225</v>
      </c>
    </row>
    <row r="406" spans="1:10" ht="33.75">
      <c r="A406" s="3" t="s">
        <v>563</v>
      </c>
      <c r="B406" s="8">
        <v>1</v>
      </c>
      <c r="C406" s="8">
        <v>2</v>
      </c>
      <c r="D406" s="3" t="s">
        <v>999</v>
      </c>
      <c r="E406" s="14" t="s">
        <v>133</v>
      </c>
      <c r="F406" s="3" t="s">
        <v>276</v>
      </c>
      <c r="G406" s="2" t="s">
        <v>984</v>
      </c>
      <c r="H406" s="15" t="s">
        <v>423</v>
      </c>
      <c r="I406" s="29">
        <v>114722.5</v>
      </c>
      <c r="J406" s="30">
        <v>86041.875</v>
      </c>
    </row>
    <row r="407" spans="1:10" ht="33.75">
      <c r="A407" s="3" t="s">
        <v>563</v>
      </c>
      <c r="B407" s="8">
        <v>1</v>
      </c>
      <c r="C407" s="8">
        <v>2</v>
      </c>
      <c r="D407" s="3" t="s">
        <v>999</v>
      </c>
      <c r="E407" s="14" t="s">
        <v>133</v>
      </c>
      <c r="F407" s="1" t="s">
        <v>135</v>
      </c>
      <c r="G407" s="8" t="s">
        <v>984</v>
      </c>
      <c r="H407" s="15" t="s">
        <v>423</v>
      </c>
      <c r="I407" s="29">
        <v>139037.06</v>
      </c>
      <c r="J407" s="30">
        <v>104277.795</v>
      </c>
    </row>
    <row r="408" spans="1:10" ht="33.75">
      <c r="A408" s="3" t="s">
        <v>563</v>
      </c>
      <c r="B408" s="8">
        <v>1</v>
      </c>
      <c r="C408" s="8">
        <v>2</v>
      </c>
      <c r="D408" s="3" t="s">
        <v>999</v>
      </c>
      <c r="E408" s="14" t="s">
        <v>133</v>
      </c>
      <c r="F408" s="1" t="s">
        <v>414</v>
      </c>
      <c r="G408" s="8" t="s">
        <v>984</v>
      </c>
      <c r="H408" s="15" t="s">
        <v>423</v>
      </c>
      <c r="I408" s="29">
        <v>100000</v>
      </c>
      <c r="J408" s="30">
        <v>75000</v>
      </c>
    </row>
    <row r="409" spans="1:10" ht="33.75">
      <c r="A409" s="3" t="s">
        <v>563</v>
      </c>
      <c r="B409" s="8">
        <v>1</v>
      </c>
      <c r="C409" s="8">
        <v>2</v>
      </c>
      <c r="D409" s="3" t="s">
        <v>999</v>
      </c>
      <c r="E409" s="14" t="s">
        <v>133</v>
      </c>
      <c r="F409" s="5" t="s">
        <v>649</v>
      </c>
      <c r="G409" s="2" t="s">
        <v>984</v>
      </c>
      <c r="H409" s="15" t="s">
        <v>330</v>
      </c>
      <c r="I409" s="29">
        <v>450948.03</v>
      </c>
      <c r="J409" s="30">
        <v>338211.0225</v>
      </c>
    </row>
    <row r="410" spans="1:10" ht="33.75">
      <c r="A410" s="24" t="s">
        <v>563</v>
      </c>
      <c r="B410" s="6">
        <v>1</v>
      </c>
      <c r="C410" s="6">
        <v>2</v>
      </c>
      <c r="D410" s="33" t="str">
        <f>D409</f>
        <v>0319_PEGLA_2_4_P</v>
      </c>
      <c r="E410" s="24" t="s">
        <v>133</v>
      </c>
      <c r="F410" s="24"/>
      <c r="G410" s="6"/>
      <c r="H410" s="6"/>
      <c r="I410" s="34">
        <f>SUBTOTAL(9,I395:I409)</f>
        <v>2878714.58</v>
      </c>
      <c r="J410" s="34">
        <v>2159035.935</v>
      </c>
    </row>
    <row r="411" spans="1:10" ht="33.75">
      <c r="A411" s="3" t="s">
        <v>563</v>
      </c>
      <c r="B411" s="8">
        <v>1</v>
      </c>
      <c r="C411" s="8">
        <v>3</v>
      </c>
      <c r="D411" s="3" t="s">
        <v>1001</v>
      </c>
      <c r="E411" s="14" t="s">
        <v>133</v>
      </c>
      <c r="F411" s="1" t="s">
        <v>991</v>
      </c>
      <c r="G411" s="2" t="s">
        <v>984</v>
      </c>
      <c r="H411" s="15" t="s">
        <v>423</v>
      </c>
      <c r="I411" s="29">
        <v>100000</v>
      </c>
      <c r="J411" s="30">
        <v>75000</v>
      </c>
    </row>
    <row r="412" spans="1:10" ht="33.75">
      <c r="A412" s="3" t="s">
        <v>563</v>
      </c>
      <c r="B412" s="8">
        <v>1</v>
      </c>
      <c r="C412" s="8">
        <v>3</v>
      </c>
      <c r="D412" s="3" t="s">
        <v>1001</v>
      </c>
      <c r="E412" s="14" t="s">
        <v>133</v>
      </c>
      <c r="F412" s="5" t="s">
        <v>649</v>
      </c>
      <c r="G412" s="2" t="s">
        <v>984</v>
      </c>
      <c r="H412" s="15" t="s">
        <v>330</v>
      </c>
      <c r="I412" s="29">
        <v>22340.43</v>
      </c>
      <c r="J412" s="30">
        <v>16755.322500000002</v>
      </c>
    </row>
    <row r="413" spans="1:10" ht="33.75">
      <c r="A413" s="3" t="s">
        <v>563</v>
      </c>
      <c r="B413" s="8">
        <v>1</v>
      </c>
      <c r="C413" s="8">
        <v>3</v>
      </c>
      <c r="D413" s="3" t="s">
        <v>1001</v>
      </c>
      <c r="E413" s="14" t="s">
        <v>133</v>
      </c>
      <c r="F413" s="1" t="s">
        <v>714</v>
      </c>
      <c r="G413" s="2" t="s">
        <v>984</v>
      </c>
      <c r="H413" s="15" t="s">
        <v>423</v>
      </c>
      <c r="I413" s="31">
        <v>0</v>
      </c>
      <c r="J413" s="30">
        <v>0</v>
      </c>
    </row>
    <row r="414" spans="1:10" ht="33.75">
      <c r="A414" s="3" t="s">
        <v>563</v>
      </c>
      <c r="B414" s="8">
        <v>1</v>
      </c>
      <c r="C414" s="8">
        <v>3</v>
      </c>
      <c r="D414" s="3" t="s">
        <v>1001</v>
      </c>
      <c r="E414" s="14" t="s">
        <v>133</v>
      </c>
      <c r="F414" s="3" t="s">
        <v>607</v>
      </c>
      <c r="G414" s="2" t="s">
        <v>983</v>
      </c>
      <c r="H414" s="15" t="s">
        <v>423</v>
      </c>
      <c r="I414" s="29">
        <v>46000</v>
      </c>
      <c r="J414" s="30">
        <v>34500</v>
      </c>
    </row>
    <row r="415" spans="1:10" ht="33.75">
      <c r="A415" s="3" t="s">
        <v>563</v>
      </c>
      <c r="B415" s="8">
        <v>1</v>
      </c>
      <c r="C415" s="8">
        <v>3</v>
      </c>
      <c r="D415" s="3" t="s">
        <v>1001</v>
      </c>
      <c r="E415" s="14" t="s">
        <v>133</v>
      </c>
      <c r="F415" s="1" t="s">
        <v>414</v>
      </c>
      <c r="G415" s="2" t="s">
        <v>984</v>
      </c>
      <c r="H415" s="15" t="s">
        <v>423</v>
      </c>
      <c r="I415" s="29">
        <v>338641.42</v>
      </c>
      <c r="J415" s="30">
        <v>253981.065</v>
      </c>
    </row>
    <row r="416" spans="1:10" ht="33.75">
      <c r="A416" s="3" t="s">
        <v>563</v>
      </c>
      <c r="B416" s="8">
        <v>1</v>
      </c>
      <c r="C416" s="8">
        <v>3</v>
      </c>
      <c r="D416" s="3" t="s">
        <v>1001</v>
      </c>
      <c r="E416" s="14" t="s">
        <v>133</v>
      </c>
      <c r="F416" s="3" t="s">
        <v>455</v>
      </c>
      <c r="G416" s="2" t="s">
        <v>984</v>
      </c>
      <c r="H416" s="15" t="s">
        <v>423</v>
      </c>
      <c r="I416" s="29">
        <v>69504.26</v>
      </c>
      <c r="J416" s="30">
        <v>52128.19499999999</v>
      </c>
    </row>
    <row r="417" spans="1:10" ht="33.75">
      <c r="A417" s="3" t="s">
        <v>563</v>
      </c>
      <c r="B417" s="8">
        <v>1</v>
      </c>
      <c r="C417" s="8">
        <v>3</v>
      </c>
      <c r="D417" s="3" t="s">
        <v>1001</v>
      </c>
      <c r="E417" s="14" t="s">
        <v>133</v>
      </c>
      <c r="F417" s="3" t="s">
        <v>399</v>
      </c>
      <c r="G417" s="2" t="s">
        <v>984</v>
      </c>
      <c r="H417" s="15" t="s">
        <v>423</v>
      </c>
      <c r="I417" s="29">
        <v>114503.19</v>
      </c>
      <c r="J417" s="30">
        <v>85877.3925</v>
      </c>
    </row>
    <row r="418" spans="1:10" ht="33.75">
      <c r="A418" s="3" t="s">
        <v>563</v>
      </c>
      <c r="B418" s="8">
        <v>1</v>
      </c>
      <c r="C418" s="8">
        <v>3</v>
      </c>
      <c r="D418" s="3" t="s">
        <v>1001</v>
      </c>
      <c r="E418" s="14" t="s">
        <v>133</v>
      </c>
      <c r="F418" s="3" t="s">
        <v>421</v>
      </c>
      <c r="G418" s="2" t="s">
        <v>984</v>
      </c>
      <c r="H418" s="15" t="s">
        <v>423</v>
      </c>
      <c r="I418" s="29">
        <v>104553.19</v>
      </c>
      <c r="J418" s="30">
        <v>78414.8925</v>
      </c>
    </row>
    <row r="419" spans="1:10" ht="33.75">
      <c r="A419" s="3" t="s">
        <v>563</v>
      </c>
      <c r="B419" s="8">
        <v>1</v>
      </c>
      <c r="C419" s="8">
        <v>3</v>
      </c>
      <c r="D419" s="3" t="s">
        <v>1001</v>
      </c>
      <c r="E419" s="14" t="s">
        <v>133</v>
      </c>
      <c r="F419" s="1" t="s">
        <v>130</v>
      </c>
      <c r="G419" s="2" t="s">
        <v>983</v>
      </c>
      <c r="H419" s="15" t="s">
        <v>423</v>
      </c>
      <c r="I419" s="29">
        <v>400000</v>
      </c>
      <c r="J419" s="30">
        <v>300000</v>
      </c>
    </row>
    <row r="420" spans="1:10" ht="33.75">
      <c r="A420" s="3" t="s">
        <v>563</v>
      </c>
      <c r="B420" s="8">
        <v>1</v>
      </c>
      <c r="C420" s="8">
        <v>3</v>
      </c>
      <c r="D420" s="3" t="s">
        <v>1001</v>
      </c>
      <c r="E420" s="14" t="s">
        <v>133</v>
      </c>
      <c r="F420" s="1" t="s">
        <v>715</v>
      </c>
      <c r="G420" s="2" t="s">
        <v>983</v>
      </c>
      <c r="H420" s="15" t="s">
        <v>423</v>
      </c>
      <c r="I420" s="29">
        <v>400000</v>
      </c>
      <c r="J420" s="30">
        <v>300000</v>
      </c>
    </row>
    <row r="421" spans="1:10" ht="33.75">
      <c r="A421" s="3" t="s">
        <v>563</v>
      </c>
      <c r="B421" s="8">
        <v>1</v>
      </c>
      <c r="C421" s="8">
        <v>3</v>
      </c>
      <c r="D421" s="3" t="s">
        <v>1001</v>
      </c>
      <c r="E421" s="14" t="s">
        <v>133</v>
      </c>
      <c r="F421" s="1" t="s">
        <v>342</v>
      </c>
      <c r="G421" s="2" t="s">
        <v>983</v>
      </c>
      <c r="H421" s="15" t="s">
        <v>423</v>
      </c>
      <c r="I421" s="29">
        <v>300000</v>
      </c>
      <c r="J421" s="30">
        <v>225000</v>
      </c>
    </row>
    <row r="422" spans="1:10" ht="33.75">
      <c r="A422" s="3" t="s">
        <v>563</v>
      </c>
      <c r="B422" s="8">
        <v>1</v>
      </c>
      <c r="C422" s="8">
        <v>3</v>
      </c>
      <c r="D422" s="3" t="s">
        <v>1001</v>
      </c>
      <c r="E422" s="14" t="s">
        <v>133</v>
      </c>
      <c r="F422" s="3" t="s">
        <v>587</v>
      </c>
      <c r="G422" s="2" t="s">
        <v>983</v>
      </c>
      <c r="H422" s="15" t="s">
        <v>423</v>
      </c>
      <c r="I422" s="29">
        <v>334973.92</v>
      </c>
      <c r="J422" s="30">
        <v>251230.44</v>
      </c>
    </row>
    <row r="423" spans="1:10" ht="33.75">
      <c r="A423" s="24" t="s">
        <v>563</v>
      </c>
      <c r="B423" s="6">
        <v>1</v>
      </c>
      <c r="C423" s="6">
        <v>3</v>
      </c>
      <c r="D423" s="33" t="str">
        <f>D422</f>
        <v>0319_PEGLA_3_4_P</v>
      </c>
      <c r="E423" s="24" t="s">
        <v>133</v>
      </c>
      <c r="F423" s="24"/>
      <c r="G423" s="6"/>
      <c r="H423" s="6"/>
      <c r="I423" s="34">
        <f>SUBTOTAL(9,I411:I422)</f>
        <v>2230516.41</v>
      </c>
      <c r="J423" s="34">
        <v>1672887.3075</v>
      </c>
    </row>
    <row r="424" spans="1:10" ht="33.75">
      <c r="A424" s="3" t="s">
        <v>563</v>
      </c>
      <c r="B424" s="8">
        <v>1</v>
      </c>
      <c r="C424" s="8">
        <v>4</v>
      </c>
      <c r="D424" s="3" t="s">
        <v>1002</v>
      </c>
      <c r="E424" s="14" t="s">
        <v>133</v>
      </c>
      <c r="F424" s="5" t="s">
        <v>649</v>
      </c>
      <c r="G424" s="2" t="s">
        <v>984</v>
      </c>
      <c r="H424" s="15" t="s">
        <v>330</v>
      </c>
      <c r="I424" s="29">
        <v>100000</v>
      </c>
      <c r="J424" s="30">
        <v>75000</v>
      </c>
    </row>
    <row r="425" spans="1:10" ht="33.75">
      <c r="A425" s="24" t="s">
        <v>563</v>
      </c>
      <c r="B425" s="6">
        <v>1</v>
      </c>
      <c r="C425" s="6">
        <v>4</v>
      </c>
      <c r="D425" s="33" t="s">
        <v>1002</v>
      </c>
      <c r="E425" s="24" t="s">
        <v>133</v>
      </c>
      <c r="F425" s="24"/>
      <c r="G425" s="6"/>
      <c r="H425" s="6"/>
      <c r="I425" s="34">
        <f>SUBTOTAL(9,I424)</f>
        <v>100000</v>
      </c>
      <c r="J425" s="34">
        <v>75000</v>
      </c>
    </row>
    <row r="426" spans="1:10" ht="33.75">
      <c r="A426" s="3" t="s">
        <v>564</v>
      </c>
      <c r="B426" s="8">
        <v>1</v>
      </c>
      <c r="C426" s="8">
        <v>3</v>
      </c>
      <c r="D426" s="3" t="s">
        <v>160</v>
      </c>
      <c r="E426" s="14" t="s">
        <v>161</v>
      </c>
      <c r="F426" s="11" t="s">
        <v>351</v>
      </c>
      <c r="G426" s="2" t="s">
        <v>983</v>
      </c>
      <c r="H426" s="15" t="s">
        <v>423</v>
      </c>
      <c r="I426" s="29">
        <v>630000</v>
      </c>
      <c r="J426" s="30">
        <v>472500</v>
      </c>
    </row>
    <row r="427" spans="1:10" ht="33.75">
      <c r="A427" s="3" t="s">
        <v>564</v>
      </c>
      <c r="B427" s="8">
        <v>1</v>
      </c>
      <c r="C427" s="8">
        <v>3</v>
      </c>
      <c r="D427" s="3" t="s">
        <v>160</v>
      </c>
      <c r="E427" s="14" t="s">
        <v>161</v>
      </c>
      <c r="F427" s="12" t="s">
        <v>353</v>
      </c>
      <c r="G427" s="2" t="s">
        <v>984</v>
      </c>
      <c r="H427" s="15" t="s">
        <v>423</v>
      </c>
      <c r="I427" s="29">
        <v>100000</v>
      </c>
      <c r="J427" s="30">
        <v>75000</v>
      </c>
    </row>
    <row r="428" spans="1:10" ht="33.75">
      <c r="A428" s="3" t="s">
        <v>564</v>
      </c>
      <c r="B428" s="8">
        <v>1</v>
      </c>
      <c r="C428" s="8">
        <v>3</v>
      </c>
      <c r="D428" s="3" t="s">
        <v>160</v>
      </c>
      <c r="E428" s="14" t="s">
        <v>161</v>
      </c>
      <c r="F428" s="12" t="s">
        <v>162</v>
      </c>
      <c r="G428" s="2" t="s">
        <v>984</v>
      </c>
      <c r="H428" s="15" t="s">
        <v>423</v>
      </c>
      <c r="I428" s="29">
        <v>200000</v>
      </c>
      <c r="J428" s="30">
        <v>150000</v>
      </c>
    </row>
    <row r="429" spans="1:10" ht="33.75">
      <c r="A429" s="3" t="s">
        <v>564</v>
      </c>
      <c r="B429" s="8">
        <v>1</v>
      </c>
      <c r="C429" s="8">
        <v>3</v>
      </c>
      <c r="D429" s="3" t="s">
        <v>160</v>
      </c>
      <c r="E429" s="14" t="s">
        <v>161</v>
      </c>
      <c r="F429" s="12" t="s">
        <v>355</v>
      </c>
      <c r="G429" s="2" t="s">
        <v>984</v>
      </c>
      <c r="H429" s="15" t="s">
        <v>423</v>
      </c>
      <c r="I429" s="29">
        <v>400000</v>
      </c>
      <c r="J429" s="30">
        <v>300000</v>
      </c>
    </row>
    <row r="430" spans="1:10" ht="33.75">
      <c r="A430" s="3" t="s">
        <v>564</v>
      </c>
      <c r="B430" s="8">
        <v>1</v>
      </c>
      <c r="C430" s="8">
        <v>3</v>
      </c>
      <c r="D430" s="3" t="s">
        <v>160</v>
      </c>
      <c r="E430" s="14" t="s">
        <v>161</v>
      </c>
      <c r="F430" s="12" t="s">
        <v>352</v>
      </c>
      <c r="G430" s="2" t="s">
        <v>984</v>
      </c>
      <c r="H430" s="15" t="s">
        <v>423</v>
      </c>
      <c r="I430" s="29">
        <v>467410.23</v>
      </c>
      <c r="J430" s="30">
        <v>350557.6725</v>
      </c>
    </row>
    <row r="431" spans="1:10" ht="33.75">
      <c r="A431" s="3" t="s">
        <v>564</v>
      </c>
      <c r="B431" s="8">
        <v>1</v>
      </c>
      <c r="C431" s="8">
        <v>3</v>
      </c>
      <c r="D431" s="3" t="s">
        <v>160</v>
      </c>
      <c r="E431" s="14" t="s">
        <v>161</v>
      </c>
      <c r="F431" s="12" t="s">
        <v>290</v>
      </c>
      <c r="G431" s="2" t="s">
        <v>983</v>
      </c>
      <c r="H431" s="15" t="s">
        <v>423</v>
      </c>
      <c r="I431" s="29">
        <v>1000000</v>
      </c>
      <c r="J431" s="30">
        <v>750000</v>
      </c>
    </row>
    <row r="432" spans="1:10" ht="33.75">
      <c r="A432" s="3" t="s">
        <v>564</v>
      </c>
      <c r="B432" s="8">
        <v>1</v>
      </c>
      <c r="C432" s="8">
        <v>3</v>
      </c>
      <c r="D432" s="3" t="s">
        <v>160</v>
      </c>
      <c r="E432" s="14" t="s">
        <v>161</v>
      </c>
      <c r="F432" s="12" t="s">
        <v>488</v>
      </c>
      <c r="G432" s="2" t="s">
        <v>984</v>
      </c>
      <c r="H432" s="15" t="s">
        <v>423</v>
      </c>
      <c r="I432" s="29">
        <v>130087</v>
      </c>
      <c r="J432" s="30">
        <v>97565.25</v>
      </c>
    </row>
    <row r="433" spans="1:10" ht="33.75">
      <c r="A433" s="3" t="s">
        <v>564</v>
      </c>
      <c r="B433" s="8">
        <v>1</v>
      </c>
      <c r="C433" s="2" t="s">
        <v>45</v>
      </c>
      <c r="D433" s="3" t="s">
        <v>160</v>
      </c>
      <c r="E433" s="14" t="s">
        <v>161</v>
      </c>
      <c r="F433" s="12" t="s">
        <v>354</v>
      </c>
      <c r="G433" s="2" t="s">
        <v>984</v>
      </c>
      <c r="H433" s="15" t="s">
        <v>423</v>
      </c>
      <c r="I433" s="29">
        <v>331400.11</v>
      </c>
      <c r="J433" s="30">
        <v>248550.0825</v>
      </c>
    </row>
    <row r="434" spans="1:10" ht="33.75">
      <c r="A434" s="3" t="s">
        <v>564</v>
      </c>
      <c r="B434" s="8">
        <v>1</v>
      </c>
      <c r="C434" s="8">
        <v>3</v>
      </c>
      <c r="D434" s="3" t="s">
        <v>160</v>
      </c>
      <c r="E434" s="14" t="s">
        <v>161</v>
      </c>
      <c r="F434" s="10" t="s">
        <v>163</v>
      </c>
      <c r="G434" s="2" t="s">
        <v>983</v>
      </c>
      <c r="H434" s="15" t="s">
        <v>330</v>
      </c>
      <c r="I434" s="29">
        <v>160000</v>
      </c>
      <c r="J434" s="30">
        <v>120000</v>
      </c>
    </row>
    <row r="435" spans="1:10" ht="33.75">
      <c r="A435" s="3" t="s">
        <v>564</v>
      </c>
      <c r="B435" s="8">
        <v>1</v>
      </c>
      <c r="C435" s="8">
        <v>3</v>
      </c>
      <c r="D435" s="3" t="s">
        <v>160</v>
      </c>
      <c r="E435" s="14" t="s">
        <v>161</v>
      </c>
      <c r="F435" s="12" t="s">
        <v>514</v>
      </c>
      <c r="G435" s="2" t="s">
        <v>984</v>
      </c>
      <c r="H435" s="15" t="s">
        <v>423</v>
      </c>
      <c r="I435" s="29">
        <v>133333.33</v>
      </c>
      <c r="J435" s="30">
        <v>99999.9975</v>
      </c>
    </row>
    <row r="436" spans="1:10" ht="33.75">
      <c r="A436" s="3" t="s">
        <v>564</v>
      </c>
      <c r="B436" s="8">
        <v>1</v>
      </c>
      <c r="C436" s="8">
        <v>3</v>
      </c>
      <c r="D436" s="3" t="s">
        <v>160</v>
      </c>
      <c r="E436" s="14" t="s">
        <v>161</v>
      </c>
      <c r="F436" s="12" t="s">
        <v>164</v>
      </c>
      <c r="G436" s="2" t="s">
        <v>983</v>
      </c>
      <c r="H436" s="15" t="s">
        <v>423</v>
      </c>
      <c r="I436" s="29">
        <v>543282</v>
      </c>
      <c r="J436" s="30">
        <v>407461.5</v>
      </c>
    </row>
    <row r="437" spans="1:10" ht="33.75">
      <c r="A437" s="24" t="s">
        <v>564</v>
      </c>
      <c r="B437" s="6">
        <v>1</v>
      </c>
      <c r="C437" s="6">
        <v>3</v>
      </c>
      <c r="D437" s="33" t="s">
        <v>160</v>
      </c>
      <c r="E437" s="24" t="s">
        <v>161</v>
      </c>
      <c r="F437" s="24"/>
      <c r="G437" s="6"/>
      <c r="H437" s="6"/>
      <c r="I437" s="34">
        <f>SUBTOTAL(9,I426:I436)</f>
        <v>4095512.67</v>
      </c>
      <c r="J437" s="34">
        <v>3071634.5025</v>
      </c>
    </row>
    <row r="438" spans="1:10" ht="33.75">
      <c r="A438" s="3" t="s">
        <v>562</v>
      </c>
      <c r="B438" s="8">
        <v>1</v>
      </c>
      <c r="C438" s="8">
        <v>2</v>
      </c>
      <c r="D438" s="3" t="s">
        <v>109</v>
      </c>
      <c r="E438" s="14" t="s">
        <v>110</v>
      </c>
      <c r="F438" s="4" t="s">
        <v>850</v>
      </c>
      <c r="G438" s="2" t="s">
        <v>983</v>
      </c>
      <c r="H438" s="15" t="s">
        <v>330</v>
      </c>
      <c r="I438" s="31">
        <v>1049930.66</v>
      </c>
      <c r="J438" s="30">
        <v>787447.9949999999</v>
      </c>
    </row>
    <row r="439" spans="1:10" ht="33.75">
      <c r="A439" s="3" t="s">
        <v>562</v>
      </c>
      <c r="B439" s="8">
        <v>1</v>
      </c>
      <c r="C439" s="8">
        <v>2</v>
      </c>
      <c r="D439" s="3" t="s">
        <v>109</v>
      </c>
      <c r="E439" s="14" t="s">
        <v>110</v>
      </c>
      <c r="F439" s="1" t="s">
        <v>851</v>
      </c>
      <c r="G439" s="2" t="s">
        <v>984</v>
      </c>
      <c r="H439" s="15" t="s">
        <v>423</v>
      </c>
      <c r="I439" s="31">
        <v>349333.33</v>
      </c>
      <c r="J439" s="30">
        <v>261999.9975</v>
      </c>
    </row>
    <row r="440" spans="1:10" ht="33.75">
      <c r="A440" s="3" t="s">
        <v>562</v>
      </c>
      <c r="B440" s="8">
        <v>1</v>
      </c>
      <c r="C440" s="8">
        <v>2</v>
      </c>
      <c r="D440" s="3" t="s">
        <v>109</v>
      </c>
      <c r="E440" s="14" t="s">
        <v>110</v>
      </c>
      <c r="F440" s="1" t="s">
        <v>723</v>
      </c>
      <c r="G440" s="2" t="s">
        <v>984</v>
      </c>
      <c r="H440" s="15" t="s">
        <v>423</v>
      </c>
      <c r="I440" s="31">
        <v>666666.66</v>
      </c>
      <c r="J440" s="30">
        <v>499999.995</v>
      </c>
    </row>
    <row r="441" spans="1:10" ht="33.75">
      <c r="A441" s="3" t="s">
        <v>562</v>
      </c>
      <c r="B441" s="8">
        <v>1</v>
      </c>
      <c r="C441" s="8">
        <v>2</v>
      </c>
      <c r="D441" s="3" t="s">
        <v>109</v>
      </c>
      <c r="E441" s="14" t="s">
        <v>110</v>
      </c>
      <c r="F441" s="1" t="s">
        <v>324</v>
      </c>
      <c r="G441" s="2" t="s">
        <v>983</v>
      </c>
      <c r="H441" s="15" t="s">
        <v>423</v>
      </c>
      <c r="I441" s="31">
        <v>854666.66</v>
      </c>
      <c r="J441" s="30">
        <v>640999.995</v>
      </c>
    </row>
    <row r="442" spans="1:10" ht="33.75">
      <c r="A442" s="24" t="s">
        <v>562</v>
      </c>
      <c r="B442" s="6">
        <v>1</v>
      </c>
      <c r="C442" s="6">
        <v>2</v>
      </c>
      <c r="D442" s="33" t="s">
        <v>109</v>
      </c>
      <c r="E442" s="24" t="s">
        <v>110</v>
      </c>
      <c r="F442" s="24"/>
      <c r="G442" s="6"/>
      <c r="H442" s="6"/>
      <c r="I442" s="34">
        <f>SUBTOTAL(9,I438:I441)</f>
        <v>2920597.31</v>
      </c>
      <c r="J442" s="34">
        <v>2190447.9825</v>
      </c>
    </row>
    <row r="443" spans="1:10" ht="33.75">
      <c r="A443" s="3" t="s">
        <v>562</v>
      </c>
      <c r="B443" s="8">
        <v>1</v>
      </c>
      <c r="C443" s="8">
        <v>1</v>
      </c>
      <c r="D443" s="3" t="s">
        <v>105</v>
      </c>
      <c r="E443" s="14" t="s">
        <v>106</v>
      </c>
      <c r="F443" s="4" t="s">
        <v>850</v>
      </c>
      <c r="G443" s="2" t="s">
        <v>983</v>
      </c>
      <c r="H443" s="15" t="s">
        <v>330</v>
      </c>
      <c r="I443" s="31">
        <v>933808</v>
      </c>
      <c r="J443" s="30">
        <v>700356</v>
      </c>
    </row>
    <row r="444" spans="1:10" ht="33.75">
      <c r="A444" s="3" t="s">
        <v>562</v>
      </c>
      <c r="B444" s="8">
        <v>1</v>
      </c>
      <c r="C444" s="8">
        <v>1</v>
      </c>
      <c r="D444" s="3" t="s">
        <v>105</v>
      </c>
      <c r="E444" s="14" t="s">
        <v>106</v>
      </c>
      <c r="F444" s="1" t="s">
        <v>799</v>
      </c>
      <c r="G444" s="2" t="s">
        <v>984</v>
      </c>
      <c r="H444" s="15" t="s">
        <v>423</v>
      </c>
      <c r="I444" s="31">
        <f>289292.95+218692.05</f>
        <v>507985</v>
      </c>
      <c r="J444" s="30">
        <v>380988.75</v>
      </c>
    </row>
    <row r="445" spans="1:10" ht="33.75">
      <c r="A445" s="3" t="s">
        <v>562</v>
      </c>
      <c r="B445" s="8">
        <v>1</v>
      </c>
      <c r="C445" s="8">
        <v>1</v>
      </c>
      <c r="D445" s="3" t="s">
        <v>105</v>
      </c>
      <c r="E445" s="14" t="s">
        <v>106</v>
      </c>
      <c r="F445" s="1" t="s">
        <v>851</v>
      </c>
      <c r="G445" s="2" t="s">
        <v>984</v>
      </c>
      <c r="H445" s="15" t="s">
        <v>423</v>
      </c>
      <c r="I445" s="31">
        <f>392838.89-218692.05</f>
        <v>174146.84000000003</v>
      </c>
      <c r="J445" s="30">
        <v>130610.13000000002</v>
      </c>
    </row>
    <row r="446" spans="1:10" ht="33.75">
      <c r="A446" s="24" t="s">
        <v>562</v>
      </c>
      <c r="B446" s="6">
        <v>1</v>
      </c>
      <c r="C446" s="6">
        <v>1</v>
      </c>
      <c r="D446" s="33" t="s">
        <v>105</v>
      </c>
      <c r="E446" s="24" t="s">
        <v>106</v>
      </c>
      <c r="F446" s="24"/>
      <c r="G446" s="6"/>
      <c r="H446" s="6"/>
      <c r="I446" s="34">
        <f>SUBTOTAL(9,I443:I445)</f>
        <v>1615939.84</v>
      </c>
      <c r="J446" s="34">
        <v>1211954.8800000001</v>
      </c>
    </row>
    <row r="447" spans="1:10" ht="33.75">
      <c r="A447" s="3" t="s">
        <v>564</v>
      </c>
      <c r="B447" s="8">
        <v>1</v>
      </c>
      <c r="C447" s="8">
        <v>1</v>
      </c>
      <c r="D447" s="3" t="s">
        <v>150</v>
      </c>
      <c r="E447" s="14" t="s">
        <v>151</v>
      </c>
      <c r="F447" s="12" t="s">
        <v>355</v>
      </c>
      <c r="G447" s="2" t="s">
        <v>984</v>
      </c>
      <c r="H447" s="15" t="s">
        <v>423</v>
      </c>
      <c r="I447" s="29">
        <v>281500</v>
      </c>
      <c r="J447" s="30">
        <v>211125</v>
      </c>
    </row>
    <row r="448" spans="1:10" ht="33.75">
      <c r="A448" s="3" t="s">
        <v>564</v>
      </c>
      <c r="B448" s="8">
        <v>1</v>
      </c>
      <c r="C448" s="8">
        <v>1</v>
      </c>
      <c r="D448" s="3" t="s">
        <v>150</v>
      </c>
      <c r="E448" s="14" t="s">
        <v>151</v>
      </c>
      <c r="F448" s="12" t="s">
        <v>352</v>
      </c>
      <c r="G448" s="2" t="s">
        <v>984</v>
      </c>
      <c r="H448" s="15" t="s">
        <v>423</v>
      </c>
      <c r="I448" s="29">
        <v>536666.67</v>
      </c>
      <c r="J448" s="30">
        <v>402500.00250000006</v>
      </c>
    </row>
    <row r="449" spans="1:10" ht="33.75">
      <c r="A449" s="3" t="s">
        <v>564</v>
      </c>
      <c r="B449" s="8">
        <v>1</v>
      </c>
      <c r="C449" s="8">
        <v>1</v>
      </c>
      <c r="D449" s="3" t="s">
        <v>150</v>
      </c>
      <c r="E449" s="14" t="s">
        <v>151</v>
      </c>
      <c r="F449" s="11" t="s">
        <v>504</v>
      </c>
      <c r="G449" s="8" t="s">
        <v>983</v>
      </c>
      <c r="H449" s="15" t="s">
        <v>423</v>
      </c>
      <c r="I449" s="29">
        <v>263050</v>
      </c>
      <c r="J449" s="30">
        <v>197287.5</v>
      </c>
    </row>
    <row r="450" spans="1:10" ht="33.75">
      <c r="A450" s="3" t="s">
        <v>564</v>
      </c>
      <c r="B450" s="8">
        <v>1</v>
      </c>
      <c r="C450" s="8">
        <v>1</v>
      </c>
      <c r="D450" s="3" t="s">
        <v>150</v>
      </c>
      <c r="E450" s="14" t="s">
        <v>151</v>
      </c>
      <c r="F450" s="11" t="s">
        <v>267</v>
      </c>
      <c r="G450" s="8" t="s">
        <v>983</v>
      </c>
      <c r="H450" s="15" t="s">
        <v>423</v>
      </c>
      <c r="I450" s="29">
        <v>332300</v>
      </c>
      <c r="J450" s="30">
        <v>249225</v>
      </c>
    </row>
    <row r="451" spans="1:10" ht="33.75">
      <c r="A451" s="3" t="s">
        <v>564</v>
      </c>
      <c r="B451" s="8">
        <v>1</v>
      </c>
      <c r="C451" s="8">
        <v>1</v>
      </c>
      <c r="D451" s="3" t="s">
        <v>150</v>
      </c>
      <c r="E451" s="14" t="s">
        <v>151</v>
      </c>
      <c r="F451" s="12" t="s">
        <v>488</v>
      </c>
      <c r="G451" s="2" t="s">
        <v>984</v>
      </c>
      <c r="H451" s="15" t="s">
        <v>423</v>
      </c>
      <c r="I451" s="31">
        <v>0</v>
      </c>
      <c r="J451" s="30">
        <v>0</v>
      </c>
    </row>
    <row r="452" spans="1:10" ht="33.75">
      <c r="A452" s="3" t="s">
        <v>564</v>
      </c>
      <c r="B452" s="8">
        <v>1</v>
      </c>
      <c r="C452" s="8">
        <v>1</v>
      </c>
      <c r="D452" s="3" t="s">
        <v>150</v>
      </c>
      <c r="E452" s="14" t="s">
        <v>151</v>
      </c>
      <c r="F452" s="12" t="s">
        <v>269</v>
      </c>
      <c r="G452" s="8" t="s">
        <v>984</v>
      </c>
      <c r="H452" s="15" t="s">
        <v>423</v>
      </c>
      <c r="I452" s="29">
        <v>116110.75</v>
      </c>
      <c r="J452" s="30">
        <v>87083.0625</v>
      </c>
    </row>
    <row r="453" spans="1:10" ht="33.75">
      <c r="A453" s="3" t="s">
        <v>564</v>
      </c>
      <c r="B453" s="8">
        <v>1</v>
      </c>
      <c r="C453" s="8">
        <v>1</v>
      </c>
      <c r="D453" s="3" t="s">
        <v>150</v>
      </c>
      <c r="E453" s="14" t="s">
        <v>151</v>
      </c>
      <c r="F453" s="12" t="s">
        <v>268</v>
      </c>
      <c r="G453" s="8" t="s">
        <v>984</v>
      </c>
      <c r="H453" s="15" t="s">
        <v>423</v>
      </c>
      <c r="I453" s="29">
        <v>100000</v>
      </c>
      <c r="J453" s="30">
        <v>75000</v>
      </c>
    </row>
    <row r="454" spans="1:10" ht="33.75">
      <c r="A454" s="3" t="s">
        <v>564</v>
      </c>
      <c r="B454" s="8">
        <v>1</v>
      </c>
      <c r="C454" s="8">
        <v>1</v>
      </c>
      <c r="D454" s="3" t="s">
        <v>150</v>
      </c>
      <c r="E454" s="14" t="s">
        <v>151</v>
      </c>
      <c r="F454" s="11" t="s">
        <v>510</v>
      </c>
      <c r="G454" s="2" t="s">
        <v>983</v>
      </c>
      <c r="H454" s="15" t="s">
        <v>423</v>
      </c>
      <c r="I454" s="29">
        <v>450800</v>
      </c>
      <c r="J454" s="30">
        <v>338100</v>
      </c>
    </row>
    <row r="455" spans="1:10" ht="33.75">
      <c r="A455" s="3" t="s">
        <v>564</v>
      </c>
      <c r="B455" s="8">
        <v>1</v>
      </c>
      <c r="C455" s="8">
        <v>1</v>
      </c>
      <c r="D455" s="3" t="s">
        <v>150</v>
      </c>
      <c r="E455" s="14" t="s">
        <v>151</v>
      </c>
      <c r="F455" s="10" t="s">
        <v>716</v>
      </c>
      <c r="G455" s="8" t="s">
        <v>984</v>
      </c>
      <c r="H455" s="15" t="s">
        <v>330</v>
      </c>
      <c r="I455" s="29">
        <v>100000</v>
      </c>
      <c r="J455" s="30">
        <v>75000</v>
      </c>
    </row>
    <row r="456" spans="1:10" ht="33.75">
      <c r="A456" s="24" t="s">
        <v>564</v>
      </c>
      <c r="B456" s="6">
        <v>1</v>
      </c>
      <c r="C456" s="6">
        <v>1</v>
      </c>
      <c r="D456" s="33" t="s">
        <v>150</v>
      </c>
      <c r="E456" s="24" t="s">
        <v>151</v>
      </c>
      <c r="F456" s="24"/>
      <c r="G456" s="6"/>
      <c r="H456" s="6"/>
      <c r="I456" s="34">
        <f>SUBTOTAL(9,I447:I455)</f>
        <v>2180427.42</v>
      </c>
      <c r="J456" s="34">
        <v>1635320.565</v>
      </c>
    </row>
    <row r="457" spans="1:10" ht="33.75">
      <c r="A457" s="3" t="s">
        <v>564</v>
      </c>
      <c r="B457" s="8">
        <v>1</v>
      </c>
      <c r="C457" s="8">
        <v>2</v>
      </c>
      <c r="D457" s="3" t="s">
        <v>156</v>
      </c>
      <c r="E457" s="14" t="s">
        <v>157</v>
      </c>
      <c r="F457" s="11" t="s">
        <v>351</v>
      </c>
      <c r="G457" s="2" t="s">
        <v>983</v>
      </c>
      <c r="H457" s="15" t="s">
        <v>423</v>
      </c>
      <c r="I457" s="29">
        <v>660205</v>
      </c>
      <c r="J457" s="30">
        <v>495153.75</v>
      </c>
    </row>
    <row r="458" spans="1:10" ht="33.75">
      <c r="A458" s="3" t="s">
        <v>564</v>
      </c>
      <c r="B458" s="8">
        <v>1</v>
      </c>
      <c r="C458" s="8">
        <v>2</v>
      </c>
      <c r="D458" s="3" t="s">
        <v>156</v>
      </c>
      <c r="E458" s="14" t="s">
        <v>157</v>
      </c>
      <c r="F458" s="12" t="s">
        <v>158</v>
      </c>
      <c r="G458" s="2" t="s">
        <v>983</v>
      </c>
      <c r="H458" s="15" t="s">
        <v>423</v>
      </c>
      <c r="I458" s="29">
        <v>500000</v>
      </c>
      <c r="J458" s="30">
        <v>375000</v>
      </c>
    </row>
    <row r="459" spans="1:10" ht="33.75">
      <c r="A459" s="3" t="s">
        <v>564</v>
      </c>
      <c r="B459" s="8">
        <v>1</v>
      </c>
      <c r="C459" s="8">
        <v>2</v>
      </c>
      <c r="D459" s="3" t="s">
        <v>156</v>
      </c>
      <c r="E459" s="14" t="s">
        <v>157</v>
      </c>
      <c r="F459" s="11" t="s">
        <v>276</v>
      </c>
      <c r="G459" s="2" t="s">
        <v>984</v>
      </c>
      <c r="H459" s="15" t="s">
        <v>423</v>
      </c>
      <c r="I459" s="29">
        <f>105666.67-105666.67</f>
        <v>0</v>
      </c>
      <c r="J459" s="30">
        <v>0</v>
      </c>
    </row>
    <row r="460" spans="1:10" ht="33.75">
      <c r="A460" s="3" t="s">
        <v>564</v>
      </c>
      <c r="B460" s="8">
        <v>1</v>
      </c>
      <c r="C460" s="8">
        <v>2</v>
      </c>
      <c r="D460" s="3" t="s">
        <v>156</v>
      </c>
      <c r="E460" s="14" t="s">
        <v>157</v>
      </c>
      <c r="F460" s="12" t="s">
        <v>353</v>
      </c>
      <c r="G460" s="2" t="s">
        <v>984</v>
      </c>
      <c r="H460" s="15" t="s">
        <v>423</v>
      </c>
      <c r="I460" s="29">
        <v>266666.67</v>
      </c>
      <c r="J460" s="30">
        <v>200000.0025</v>
      </c>
    </row>
    <row r="461" spans="1:10" ht="33.75">
      <c r="A461" s="3" t="s">
        <v>564</v>
      </c>
      <c r="B461" s="8">
        <v>1</v>
      </c>
      <c r="C461" s="8">
        <v>2</v>
      </c>
      <c r="D461" s="3" t="s">
        <v>156</v>
      </c>
      <c r="E461" s="14" t="s">
        <v>157</v>
      </c>
      <c r="F461" s="12" t="s">
        <v>355</v>
      </c>
      <c r="G461" s="2" t="s">
        <v>984</v>
      </c>
      <c r="H461" s="15" t="s">
        <v>423</v>
      </c>
      <c r="I461" s="29">
        <v>311000</v>
      </c>
      <c r="J461" s="30">
        <v>233250</v>
      </c>
    </row>
    <row r="462" spans="1:10" ht="33.75">
      <c r="A462" s="3" t="s">
        <v>564</v>
      </c>
      <c r="B462" s="8">
        <v>1</v>
      </c>
      <c r="C462" s="8">
        <v>2</v>
      </c>
      <c r="D462" s="3" t="s">
        <v>156</v>
      </c>
      <c r="E462" s="14" t="s">
        <v>157</v>
      </c>
      <c r="F462" s="12" t="s">
        <v>352</v>
      </c>
      <c r="G462" s="2" t="s">
        <v>984</v>
      </c>
      <c r="H462" s="15" t="s">
        <v>423</v>
      </c>
      <c r="I462" s="29">
        <v>388666.67</v>
      </c>
      <c r="J462" s="30">
        <v>291500.0025</v>
      </c>
    </row>
    <row r="463" spans="1:10" ht="33.75">
      <c r="A463" s="3" t="s">
        <v>564</v>
      </c>
      <c r="B463" s="8">
        <v>1</v>
      </c>
      <c r="C463" s="8">
        <v>2</v>
      </c>
      <c r="D463" s="3" t="s">
        <v>156</v>
      </c>
      <c r="E463" s="14" t="s">
        <v>157</v>
      </c>
      <c r="F463" s="12" t="s">
        <v>467</v>
      </c>
      <c r="G463" s="2" t="s">
        <v>983</v>
      </c>
      <c r="H463" s="15" t="s">
        <v>423</v>
      </c>
      <c r="I463" s="29">
        <v>350000</v>
      </c>
      <c r="J463" s="30">
        <v>262500</v>
      </c>
    </row>
    <row r="464" spans="1:10" ht="33.75">
      <c r="A464" s="3" t="s">
        <v>564</v>
      </c>
      <c r="B464" s="8">
        <v>1</v>
      </c>
      <c r="C464" s="8">
        <v>2</v>
      </c>
      <c r="D464" s="3" t="s">
        <v>156</v>
      </c>
      <c r="E464" s="14" t="s">
        <v>157</v>
      </c>
      <c r="F464" s="12" t="s">
        <v>159</v>
      </c>
      <c r="G464" s="2" t="s">
        <v>983</v>
      </c>
      <c r="H464" s="15" t="s">
        <v>423</v>
      </c>
      <c r="I464" s="29">
        <v>100000</v>
      </c>
      <c r="J464" s="30">
        <v>75000</v>
      </c>
    </row>
    <row r="465" spans="1:10" ht="33.75">
      <c r="A465" s="3" t="s">
        <v>564</v>
      </c>
      <c r="B465" s="8">
        <v>1</v>
      </c>
      <c r="C465" s="8">
        <v>2</v>
      </c>
      <c r="D465" s="3" t="s">
        <v>156</v>
      </c>
      <c r="E465" s="14" t="s">
        <v>157</v>
      </c>
      <c r="F465" s="12" t="s">
        <v>488</v>
      </c>
      <c r="G465" s="2" t="s">
        <v>984</v>
      </c>
      <c r="H465" s="15" t="s">
        <v>423</v>
      </c>
      <c r="I465" s="29">
        <v>360000</v>
      </c>
      <c r="J465" s="30">
        <v>270000</v>
      </c>
    </row>
    <row r="466" spans="1:10" ht="33.75">
      <c r="A466" s="3" t="s">
        <v>564</v>
      </c>
      <c r="B466" s="8">
        <v>1</v>
      </c>
      <c r="C466" s="8">
        <v>2</v>
      </c>
      <c r="D466" s="3" t="s">
        <v>156</v>
      </c>
      <c r="E466" s="14" t="s">
        <v>157</v>
      </c>
      <c r="F466" s="12" t="s">
        <v>655</v>
      </c>
      <c r="G466" s="8" t="s">
        <v>984</v>
      </c>
      <c r="H466" s="15" t="s">
        <v>423</v>
      </c>
      <c r="I466" s="29">
        <f>361000+105666.67</f>
        <v>466666.67</v>
      </c>
      <c r="J466" s="30">
        <v>350000.0025</v>
      </c>
    </row>
    <row r="467" spans="1:10" ht="33.75">
      <c r="A467" s="3" t="s">
        <v>564</v>
      </c>
      <c r="B467" s="8">
        <v>1</v>
      </c>
      <c r="C467" s="8">
        <v>2</v>
      </c>
      <c r="D467" s="3" t="s">
        <v>156</v>
      </c>
      <c r="E467" s="14" t="s">
        <v>157</v>
      </c>
      <c r="F467" s="10" t="s">
        <v>716</v>
      </c>
      <c r="G467" s="8" t="s">
        <v>984</v>
      </c>
      <c r="H467" s="15" t="s">
        <v>330</v>
      </c>
      <c r="I467" s="29">
        <f>226666.67-110000</f>
        <v>116666.67000000001</v>
      </c>
      <c r="J467" s="30">
        <v>87500.0025</v>
      </c>
    </row>
    <row r="468" spans="1:10" ht="33.75">
      <c r="A468" s="24" t="s">
        <v>564</v>
      </c>
      <c r="B468" s="6">
        <v>1</v>
      </c>
      <c r="C468" s="6">
        <v>2</v>
      </c>
      <c r="D468" s="33" t="s">
        <v>156</v>
      </c>
      <c r="E468" s="24" t="s">
        <v>157</v>
      </c>
      <c r="F468" s="24"/>
      <c r="G468" s="6"/>
      <c r="H468" s="6"/>
      <c r="I468" s="34">
        <f>SUBTOTAL(9,I457:I467)</f>
        <v>3519871.6799999997</v>
      </c>
      <c r="J468" s="34">
        <v>2639903.76</v>
      </c>
    </row>
    <row r="469" spans="1:10" ht="45">
      <c r="A469" s="3" t="s">
        <v>807</v>
      </c>
      <c r="B469" s="8">
        <v>1</v>
      </c>
      <c r="C469" s="8">
        <v>2</v>
      </c>
      <c r="D469" s="3" t="s">
        <v>194</v>
      </c>
      <c r="E469" s="14" t="s">
        <v>195</v>
      </c>
      <c r="F469" s="1" t="s">
        <v>776</v>
      </c>
      <c r="G469" s="2" t="s">
        <v>984</v>
      </c>
      <c r="H469" s="15" t="s">
        <v>423</v>
      </c>
      <c r="I469" s="29">
        <v>200000</v>
      </c>
      <c r="J469" s="30">
        <v>150000</v>
      </c>
    </row>
    <row r="470" spans="1:10" ht="45">
      <c r="A470" s="3" t="s">
        <v>807</v>
      </c>
      <c r="B470" s="8">
        <v>1</v>
      </c>
      <c r="C470" s="8">
        <v>2</v>
      </c>
      <c r="D470" s="3" t="s">
        <v>194</v>
      </c>
      <c r="E470" s="14" t="s">
        <v>195</v>
      </c>
      <c r="F470" s="1" t="s">
        <v>701</v>
      </c>
      <c r="G470" s="2" t="s">
        <v>984</v>
      </c>
      <c r="H470" s="15" t="s">
        <v>423</v>
      </c>
      <c r="I470" s="29">
        <v>200000</v>
      </c>
      <c r="J470" s="30">
        <v>150000</v>
      </c>
    </row>
    <row r="471" spans="1:10" ht="45">
      <c r="A471" s="3" t="s">
        <v>807</v>
      </c>
      <c r="B471" s="8">
        <v>1</v>
      </c>
      <c r="C471" s="8">
        <v>2</v>
      </c>
      <c r="D471" s="3" t="s">
        <v>194</v>
      </c>
      <c r="E471" s="14" t="s">
        <v>195</v>
      </c>
      <c r="F471" s="1" t="s">
        <v>775</v>
      </c>
      <c r="G471" s="2" t="s">
        <v>984</v>
      </c>
      <c r="H471" s="15" t="s">
        <v>423</v>
      </c>
      <c r="I471" s="29">
        <v>200000</v>
      </c>
      <c r="J471" s="30">
        <v>150000</v>
      </c>
    </row>
    <row r="472" spans="1:10" ht="45">
      <c r="A472" s="3" t="s">
        <v>807</v>
      </c>
      <c r="B472" s="8">
        <v>1</v>
      </c>
      <c r="C472" s="8">
        <v>2</v>
      </c>
      <c r="D472" s="3" t="s">
        <v>194</v>
      </c>
      <c r="E472" s="14" t="s">
        <v>195</v>
      </c>
      <c r="F472" s="1" t="s">
        <v>728</v>
      </c>
      <c r="G472" s="2" t="s">
        <v>984</v>
      </c>
      <c r="H472" s="15" t="s">
        <v>423</v>
      </c>
      <c r="I472" s="29">
        <v>200000</v>
      </c>
      <c r="J472" s="30">
        <v>150000</v>
      </c>
    </row>
    <row r="473" spans="1:10" ht="45">
      <c r="A473" s="3" t="s">
        <v>807</v>
      </c>
      <c r="B473" s="8">
        <v>1</v>
      </c>
      <c r="C473" s="8">
        <v>2</v>
      </c>
      <c r="D473" s="3" t="s">
        <v>194</v>
      </c>
      <c r="E473" s="14" t="s">
        <v>195</v>
      </c>
      <c r="F473" s="1" t="s">
        <v>393</v>
      </c>
      <c r="G473" s="2" t="s">
        <v>984</v>
      </c>
      <c r="H473" s="15" t="s">
        <v>423</v>
      </c>
      <c r="I473" s="29">
        <v>200000</v>
      </c>
      <c r="J473" s="30">
        <v>150000</v>
      </c>
    </row>
    <row r="474" spans="1:10" ht="45">
      <c r="A474" s="3" t="s">
        <v>807</v>
      </c>
      <c r="B474" s="8">
        <v>1</v>
      </c>
      <c r="C474" s="8">
        <v>2</v>
      </c>
      <c r="D474" s="3" t="s">
        <v>194</v>
      </c>
      <c r="E474" s="14" t="s">
        <v>195</v>
      </c>
      <c r="F474" s="1" t="s">
        <v>196</v>
      </c>
      <c r="G474" s="8" t="s">
        <v>983</v>
      </c>
      <c r="H474" s="15" t="s">
        <v>423</v>
      </c>
      <c r="I474" s="29">
        <f>1350000+157491.64</f>
        <v>1507491.6400000001</v>
      </c>
      <c r="J474" s="30">
        <v>1130618.73</v>
      </c>
    </row>
    <row r="475" spans="1:10" ht="45">
      <c r="A475" s="3" t="s">
        <v>807</v>
      </c>
      <c r="B475" s="8">
        <v>1</v>
      </c>
      <c r="C475" s="8">
        <v>2</v>
      </c>
      <c r="D475" s="3" t="s">
        <v>194</v>
      </c>
      <c r="E475" s="14" t="s">
        <v>195</v>
      </c>
      <c r="F475" s="3" t="s">
        <v>444</v>
      </c>
      <c r="G475" s="2" t="s">
        <v>983</v>
      </c>
      <c r="H475" s="15" t="s">
        <v>423</v>
      </c>
      <c r="I475" s="29">
        <v>1300000</v>
      </c>
      <c r="J475" s="30">
        <v>975000</v>
      </c>
    </row>
    <row r="476" spans="1:10" ht="45">
      <c r="A476" s="3" t="s">
        <v>807</v>
      </c>
      <c r="B476" s="8">
        <v>1</v>
      </c>
      <c r="C476" s="8">
        <v>2</v>
      </c>
      <c r="D476" s="3" t="s">
        <v>194</v>
      </c>
      <c r="E476" s="14" t="s">
        <v>195</v>
      </c>
      <c r="F476" s="5" t="s">
        <v>636</v>
      </c>
      <c r="G476" s="8" t="s">
        <v>984</v>
      </c>
      <c r="H476" s="15" t="s">
        <v>330</v>
      </c>
      <c r="I476" s="29">
        <v>100000</v>
      </c>
      <c r="J476" s="30">
        <v>75000</v>
      </c>
    </row>
    <row r="477" spans="1:10" ht="45">
      <c r="A477" s="24" t="s">
        <v>807</v>
      </c>
      <c r="B477" s="6">
        <v>1</v>
      </c>
      <c r="C477" s="6">
        <v>2</v>
      </c>
      <c r="D477" s="33" t="str">
        <f>D476</f>
        <v>0329_ECOREDESANEASOL_1_P</v>
      </c>
      <c r="E477" s="24" t="s">
        <v>195</v>
      </c>
      <c r="F477" s="24"/>
      <c r="G477" s="6"/>
      <c r="H477" s="6"/>
      <c r="I477" s="34">
        <f>SUBTOTAL(9,I469:I476)</f>
        <v>3907491.64</v>
      </c>
      <c r="J477" s="34">
        <v>2930618.73</v>
      </c>
    </row>
    <row r="478" spans="1:10" ht="22.5">
      <c r="A478" s="3" t="s">
        <v>807</v>
      </c>
      <c r="B478" s="8">
        <v>1</v>
      </c>
      <c r="C478" s="8">
        <v>1</v>
      </c>
      <c r="D478" s="3" t="s">
        <v>197</v>
      </c>
      <c r="E478" s="14" t="s">
        <v>198</v>
      </c>
      <c r="F478" s="3" t="s">
        <v>287</v>
      </c>
      <c r="G478" s="2" t="s">
        <v>983</v>
      </c>
      <c r="H478" s="15" t="s">
        <v>423</v>
      </c>
      <c r="I478" s="29">
        <v>396340</v>
      </c>
      <c r="J478" s="30">
        <v>297255</v>
      </c>
    </row>
    <row r="479" spans="1:10" ht="22.5">
      <c r="A479" s="3" t="s">
        <v>807</v>
      </c>
      <c r="B479" s="8">
        <v>1</v>
      </c>
      <c r="C479" s="8">
        <v>1</v>
      </c>
      <c r="D479" s="3" t="s">
        <v>197</v>
      </c>
      <c r="E479" s="14" t="s">
        <v>198</v>
      </c>
      <c r="F479" s="5" t="s">
        <v>784</v>
      </c>
      <c r="G479" s="2" t="s">
        <v>984</v>
      </c>
      <c r="H479" s="15" t="s">
        <v>330</v>
      </c>
      <c r="I479" s="29">
        <v>466666.67</v>
      </c>
      <c r="J479" s="30">
        <v>350000.0025</v>
      </c>
    </row>
    <row r="480" spans="1:10" ht="22.5">
      <c r="A480" s="3" t="s">
        <v>807</v>
      </c>
      <c r="B480" s="8">
        <v>1</v>
      </c>
      <c r="C480" s="8">
        <v>1</v>
      </c>
      <c r="D480" s="3" t="s">
        <v>197</v>
      </c>
      <c r="E480" s="14" t="s">
        <v>198</v>
      </c>
      <c r="F480" s="3" t="s">
        <v>293</v>
      </c>
      <c r="G480" s="2" t="s">
        <v>983</v>
      </c>
      <c r="H480" s="15" t="s">
        <v>423</v>
      </c>
      <c r="I480" s="29">
        <v>100000</v>
      </c>
      <c r="J480" s="30">
        <v>75000</v>
      </c>
    </row>
    <row r="481" spans="1:10" ht="22.5">
      <c r="A481" s="3" t="s">
        <v>807</v>
      </c>
      <c r="B481" s="8">
        <v>1</v>
      </c>
      <c r="C481" s="8">
        <v>1</v>
      </c>
      <c r="D481" s="3" t="s">
        <v>197</v>
      </c>
      <c r="E481" s="14" t="s">
        <v>198</v>
      </c>
      <c r="F481" s="1" t="s">
        <v>575</v>
      </c>
      <c r="G481" s="8" t="s">
        <v>983</v>
      </c>
      <c r="H481" s="15" t="s">
        <v>423</v>
      </c>
      <c r="I481" s="29">
        <v>232900</v>
      </c>
      <c r="J481" s="30">
        <v>174675</v>
      </c>
    </row>
    <row r="482" spans="1:10" ht="22.5">
      <c r="A482" s="3" t="s">
        <v>807</v>
      </c>
      <c r="B482" s="8">
        <v>1</v>
      </c>
      <c r="C482" s="8">
        <v>1</v>
      </c>
      <c r="D482" s="3" t="s">
        <v>197</v>
      </c>
      <c r="E482" s="14" t="s">
        <v>198</v>
      </c>
      <c r="F482" s="1" t="s">
        <v>40</v>
      </c>
      <c r="G482" s="2" t="s">
        <v>984</v>
      </c>
      <c r="H482" s="15" t="s">
        <v>423</v>
      </c>
      <c r="I482" s="29">
        <v>100000</v>
      </c>
      <c r="J482" s="30">
        <v>75000</v>
      </c>
    </row>
    <row r="483" spans="1:10" ht="22.5">
      <c r="A483" s="3" t="s">
        <v>807</v>
      </c>
      <c r="B483" s="8">
        <v>1</v>
      </c>
      <c r="C483" s="8">
        <v>1</v>
      </c>
      <c r="D483" s="3" t="s">
        <v>197</v>
      </c>
      <c r="E483" s="14" t="s">
        <v>198</v>
      </c>
      <c r="F483" s="3" t="s">
        <v>429</v>
      </c>
      <c r="G483" s="2" t="s">
        <v>983</v>
      </c>
      <c r="H483" s="15" t="s">
        <v>423</v>
      </c>
      <c r="I483" s="29">
        <v>324000</v>
      </c>
      <c r="J483" s="30">
        <v>243000</v>
      </c>
    </row>
    <row r="484" spans="1:10" ht="33.75">
      <c r="A484" s="3" t="s">
        <v>807</v>
      </c>
      <c r="B484" s="8">
        <v>1</v>
      </c>
      <c r="C484" s="8">
        <v>1</v>
      </c>
      <c r="D484" s="3" t="s">
        <v>197</v>
      </c>
      <c r="E484" s="14" t="s">
        <v>198</v>
      </c>
      <c r="F484" s="1" t="s">
        <v>647</v>
      </c>
      <c r="G484" s="8" t="s">
        <v>984</v>
      </c>
      <c r="H484" s="15" t="s">
        <v>423</v>
      </c>
      <c r="I484" s="29">
        <v>100000</v>
      </c>
      <c r="J484" s="30">
        <v>75000</v>
      </c>
    </row>
    <row r="485" spans="1:10" ht="22.5">
      <c r="A485" s="3" t="s">
        <v>807</v>
      </c>
      <c r="B485" s="8">
        <v>1</v>
      </c>
      <c r="C485" s="8">
        <v>1</v>
      </c>
      <c r="D485" s="3" t="s">
        <v>197</v>
      </c>
      <c r="E485" s="14" t="s">
        <v>198</v>
      </c>
      <c r="F485" s="1" t="s">
        <v>411</v>
      </c>
      <c r="G485" s="8" t="s">
        <v>984</v>
      </c>
      <c r="H485" s="15" t="s">
        <v>423</v>
      </c>
      <c r="I485" s="29">
        <v>100000</v>
      </c>
      <c r="J485" s="30">
        <v>75000</v>
      </c>
    </row>
    <row r="486" spans="1:10" ht="22.5">
      <c r="A486" s="3" t="s">
        <v>807</v>
      </c>
      <c r="B486" s="8">
        <v>1</v>
      </c>
      <c r="C486" s="8">
        <v>1</v>
      </c>
      <c r="D486" s="3" t="s">
        <v>197</v>
      </c>
      <c r="E486" s="14" t="s">
        <v>198</v>
      </c>
      <c r="F486" s="1" t="s">
        <v>223</v>
      </c>
      <c r="G486" s="8" t="s">
        <v>983</v>
      </c>
      <c r="H486" s="15" t="s">
        <v>423</v>
      </c>
      <c r="I486" s="29">
        <v>144165.42</v>
      </c>
      <c r="J486" s="30">
        <v>108124.065</v>
      </c>
    </row>
    <row r="487" spans="1:10" ht="22.5">
      <c r="A487" s="24" t="s">
        <v>807</v>
      </c>
      <c r="B487" s="6">
        <v>1</v>
      </c>
      <c r="C487" s="6">
        <v>1</v>
      </c>
      <c r="D487" s="33" t="str">
        <f>D485</f>
        <v>0330_ IBEROMARE_1_P</v>
      </c>
      <c r="E487" s="24" t="s">
        <v>198</v>
      </c>
      <c r="F487" s="24"/>
      <c r="G487" s="6"/>
      <c r="H487" s="6"/>
      <c r="I487" s="34">
        <f>SUBTOTAL(9,I478:I486)</f>
        <v>1964072.0899999999</v>
      </c>
      <c r="J487" s="34">
        <v>1473054.0675</v>
      </c>
    </row>
    <row r="488" spans="1:10" ht="33.75">
      <c r="A488" s="3" t="s">
        <v>561</v>
      </c>
      <c r="B488" s="8">
        <v>1</v>
      </c>
      <c r="C488" s="8">
        <v>2</v>
      </c>
      <c r="D488" s="3" t="s">
        <v>199</v>
      </c>
      <c r="E488" s="14" t="s">
        <v>200</v>
      </c>
      <c r="F488" s="5" t="s">
        <v>646</v>
      </c>
      <c r="G488" s="2" t="s">
        <v>983</v>
      </c>
      <c r="H488" s="15" t="s">
        <v>330</v>
      </c>
      <c r="I488" s="29">
        <v>3463000</v>
      </c>
      <c r="J488" s="30">
        <v>2597250</v>
      </c>
    </row>
    <row r="489" spans="1:10" ht="33.75">
      <c r="A489" s="3" t="s">
        <v>561</v>
      </c>
      <c r="B489" s="8">
        <v>1</v>
      </c>
      <c r="C489" s="8">
        <v>2</v>
      </c>
      <c r="D489" s="3" t="s">
        <v>199</v>
      </c>
      <c r="E489" s="14" t="s">
        <v>200</v>
      </c>
      <c r="F489" s="1" t="s">
        <v>329</v>
      </c>
      <c r="G489" s="2" t="s">
        <v>984</v>
      </c>
      <c r="H489" s="15" t="s">
        <v>423</v>
      </c>
      <c r="I489" s="29">
        <v>360000</v>
      </c>
      <c r="J489" s="30">
        <v>270000</v>
      </c>
    </row>
    <row r="490" spans="1:10" ht="33.75">
      <c r="A490" s="42" t="s">
        <v>561</v>
      </c>
      <c r="B490" s="43">
        <v>1</v>
      </c>
      <c r="C490" s="43">
        <v>2</v>
      </c>
      <c r="D490" s="44" t="str">
        <f>D489</f>
        <v>0331_TF_VD_2_E</v>
      </c>
      <c r="E490" s="42" t="s">
        <v>200</v>
      </c>
      <c r="F490" s="42"/>
      <c r="G490" s="43"/>
      <c r="H490" s="43"/>
      <c r="I490" s="45">
        <f>SUBTOTAL(9,I488:I489)</f>
        <v>3823000</v>
      </c>
      <c r="J490" s="45">
        <v>2867250</v>
      </c>
    </row>
    <row r="491" spans="1:10" ht="33.75">
      <c r="A491" s="3" t="s">
        <v>563</v>
      </c>
      <c r="B491" s="66">
        <v>2</v>
      </c>
      <c r="C491" s="8">
        <v>4</v>
      </c>
      <c r="D491" s="71" t="s">
        <v>758</v>
      </c>
      <c r="E491" s="3" t="s">
        <v>251</v>
      </c>
      <c r="F491" s="59" t="s">
        <v>870</v>
      </c>
      <c r="G491" s="8" t="s">
        <v>983</v>
      </c>
      <c r="H491" s="8" t="s">
        <v>330</v>
      </c>
      <c r="I491" s="67">
        <v>1500000</v>
      </c>
      <c r="J491" s="67">
        <f>I491/0.75</f>
        <v>2000000</v>
      </c>
    </row>
    <row r="492" spans="1:10" ht="33.75">
      <c r="A492" s="3" t="s">
        <v>563</v>
      </c>
      <c r="B492" s="66">
        <v>2</v>
      </c>
      <c r="C492" s="8">
        <v>4</v>
      </c>
      <c r="D492" s="71" t="s">
        <v>758</v>
      </c>
      <c r="E492" s="3" t="s">
        <v>251</v>
      </c>
      <c r="F492" s="57" t="s">
        <v>713</v>
      </c>
      <c r="G492" s="8" t="s">
        <v>984</v>
      </c>
      <c r="H492" s="8" t="s">
        <v>423</v>
      </c>
      <c r="I492" s="67">
        <v>150000</v>
      </c>
      <c r="J492" s="67">
        <f>I492/0.75</f>
        <v>200000</v>
      </c>
    </row>
    <row r="493" spans="1:10" ht="33.75">
      <c r="A493" s="3" t="s">
        <v>563</v>
      </c>
      <c r="B493" s="66">
        <v>2</v>
      </c>
      <c r="C493" s="8">
        <v>4</v>
      </c>
      <c r="D493" s="71" t="s">
        <v>758</v>
      </c>
      <c r="E493" s="3" t="s">
        <v>251</v>
      </c>
      <c r="F493" s="57" t="s">
        <v>714</v>
      </c>
      <c r="G493" s="8" t="s">
        <v>984</v>
      </c>
      <c r="H493" s="8" t="s">
        <v>423</v>
      </c>
      <c r="I493" s="67">
        <v>160000</v>
      </c>
      <c r="J493" s="67">
        <f>I493/0.75</f>
        <v>213333.33333333334</v>
      </c>
    </row>
    <row r="494" spans="1:10" ht="33.75">
      <c r="A494" s="24" t="s">
        <v>563</v>
      </c>
      <c r="B494" s="6">
        <v>2</v>
      </c>
      <c r="C494" s="6">
        <v>4</v>
      </c>
      <c r="D494" s="61" t="s">
        <v>758</v>
      </c>
      <c r="E494" s="24" t="s">
        <v>251</v>
      </c>
      <c r="F494" s="63"/>
      <c r="G494" s="6"/>
      <c r="H494" s="6"/>
      <c r="I494" s="13">
        <f>SUBTOTAL(9,I491:I493)</f>
        <v>1810000</v>
      </c>
      <c r="J494" s="13">
        <f>SUBTOTAL(9,J491:J493)</f>
        <v>2413333.3333333335</v>
      </c>
    </row>
    <row r="495" spans="1:10" ht="22.5">
      <c r="A495" s="3" t="s">
        <v>807</v>
      </c>
      <c r="B495" s="66">
        <v>2</v>
      </c>
      <c r="C495" s="8">
        <v>1</v>
      </c>
      <c r="D495" s="71" t="s">
        <v>576</v>
      </c>
      <c r="E495" s="3" t="s">
        <v>577</v>
      </c>
      <c r="F495" s="57" t="s">
        <v>578</v>
      </c>
      <c r="G495" s="8" t="s">
        <v>984</v>
      </c>
      <c r="H495" s="8" t="s">
        <v>423</v>
      </c>
      <c r="I495" s="67">
        <f>110000-30750</f>
        <v>79250</v>
      </c>
      <c r="J495" s="67">
        <f>I495/0.75</f>
        <v>105666.66666666667</v>
      </c>
    </row>
    <row r="496" spans="1:10" ht="22.5">
      <c r="A496" s="3" t="s">
        <v>807</v>
      </c>
      <c r="B496" s="66">
        <v>2</v>
      </c>
      <c r="C496" s="8">
        <v>1</v>
      </c>
      <c r="D496" s="71" t="s">
        <v>576</v>
      </c>
      <c r="E496" s="3" t="s">
        <v>577</v>
      </c>
      <c r="F496" s="59" t="s">
        <v>579</v>
      </c>
      <c r="G496" s="8" t="s">
        <v>983</v>
      </c>
      <c r="H496" s="8" t="s">
        <v>330</v>
      </c>
      <c r="I496" s="67">
        <v>312825</v>
      </c>
      <c r="J496" s="67">
        <f>I496/0.75</f>
        <v>417100</v>
      </c>
    </row>
    <row r="497" spans="1:10" ht="22.5">
      <c r="A497" s="3" t="s">
        <v>807</v>
      </c>
      <c r="B497" s="66">
        <v>2</v>
      </c>
      <c r="C497" s="8">
        <v>1</v>
      </c>
      <c r="D497" s="71" t="s">
        <v>576</v>
      </c>
      <c r="E497" s="3" t="s">
        <v>577</v>
      </c>
      <c r="F497" s="57" t="s">
        <v>580</v>
      </c>
      <c r="G497" s="8" t="s">
        <v>983</v>
      </c>
      <c r="H497" s="8" t="s">
        <v>423</v>
      </c>
      <c r="I497" s="67">
        <v>39240</v>
      </c>
      <c r="J497" s="67">
        <f>I497/0.75</f>
        <v>52320</v>
      </c>
    </row>
    <row r="498" spans="1:10" ht="22.5">
      <c r="A498" s="3" t="s">
        <v>807</v>
      </c>
      <c r="B498" s="66">
        <v>2</v>
      </c>
      <c r="C498" s="8">
        <v>1</v>
      </c>
      <c r="D498" s="71" t="s">
        <v>576</v>
      </c>
      <c r="E498" s="3" t="s">
        <v>577</v>
      </c>
      <c r="F498" s="57" t="s">
        <v>818</v>
      </c>
      <c r="G498" s="8" t="s">
        <v>983</v>
      </c>
      <c r="H498" s="8" t="s">
        <v>423</v>
      </c>
      <c r="I498" s="67">
        <v>48420</v>
      </c>
      <c r="J498" s="67">
        <f>I498/0.75</f>
        <v>64560</v>
      </c>
    </row>
    <row r="499" spans="1:10" ht="22.5">
      <c r="A499" s="3" t="s">
        <v>807</v>
      </c>
      <c r="B499" s="66">
        <v>2</v>
      </c>
      <c r="C499" s="8">
        <v>1</v>
      </c>
      <c r="D499" s="71" t="s">
        <v>576</v>
      </c>
      <c r="E499" s="3" t="s">
        <v>577</v>
      </c>
      <c r="F499" s="57" t="s">
        <v>581</v>
      </c>
      <c r="G499" s="8" t="s">
        <v>984</v>
      </c>
      <c r="H499" s="8" t="s">
        <v>423</v>
      </c>
      <c r="I499" s="67">
        <f>34999.95+30750</f>
        <v>65749.95</v>
      </c>
      <c r="J499" s="67">
        <f>I499/0.75</f>
        <v>87666.59999999999</v>
      </c>
    </row>
    <row r="500" spans="1:10" ht="22.5">
      <c r="A500" s="24" t="s">
        <v>807</v>
      </c>
      <c r="B500" s="6">
        <v>2</v>
      </c>
      <c r="C500" s="6">
        <v>1</v>
      </c>
      <c r="D500" s="61" t="s">
        <v>576</v>
      </c>
      <c r="E500" s="24" t="s">
        <v>577</v>
      </c>
      <c r="F500" s="63"/>
      <c r="G500" s="6"/>
      <c r="H500" s="6"/>
      <c r="I500" s="13">
        <f>SUBTOTAL(9,I495:I499)</f>
        <v>545484.95</v>
      </c>
      <c r="J500" s="13">
        <f>SUBTOTAL(9,J495:J499)</f>
        <v>727313.2666666667</v>
      </c>
    </row>
    <row r="501" spans="1:10" ht="33.75">
      <c r="A501" s="3" t="s">
        <v>563</v>
      </c>
      <c r="B501" s="66">
        <v>2</v>
      </c>
      <c r="C501" s="8">
        <v>2</v>
      </c>
      <c r="D501" s="71" t="s">
        <v>582</v>
      </c>
      <c r="E501" s="3" t="s">
        <v>583</v>
      </c>
      <c r="F501" s="57" t="s">
        <v>584</v>
      </c>
      <c r="G501" s="8" t="s">
        <v>983</v>
      </c>
      <c r="H501" s="8" t="s">
        <v>423</v>
      </c>
      <c r="I501" s="67">
        <f>75000-18750</f>
        <v>56250</v>
      </c>
      <c r="J501" s="67">
        <f aca="true" t="shared" si="0" ref="J501:J512">I501/0.75</f>
        <v>75000</v>
      </c>
    </row>
    <row r="502" spans="1:10" ht="33.75">
      <c r="A502" s="3" t="s">
        <v>563</v>
      </c>
      <c r="B502" s="66">
        <v>2</v>
      </c>
      <c r="C502" s="8">
        <v>2</v>
      </c>
      <c r="D502" s="71" t="s">
        <v>582</v>
      </c>
      <c r="E502" s="3" t="s">
        <v>583</v>
      </c>
      <c r="F502" s="57" t="s">
        <v>585</v>
      </c>
      <c r="G502" s="8" t="s">
        <v>983</v>
      </c>
      <c r="H502" s="8" t="s">
        <v>423</v>
      </c>
      <c r="I502" s="67">
        <f>75000+22500</f>
        <v>97500</v>
      </c>
      <c r="J502" s="67">
        <f t="shared" si="0"/>
        <v>130000</v>
      </c>
    </row>
    <row r="503" spans="1:10" ht="33.75">
      <c r="A503" s="60" t="s">
        <v>563</v>
      </c>
      <c r="B503" s="70">
        <v>2</v>
      </c>
      <c r="C503" s="64">
        <v>2</v>
      </c>
      <c r="D503" s="72" t="s">
        <v>582</v>
      </c>
      <c r="E503" s="3" t="s">
        <v>583</v>
      </c>
      <c r="F503" s="73" t="s">
        <v>586</v>
      </c>
      <c r="G503" s="64" t="s">
        <v>983</v>
      </c>
      <c r="H503" s="64" t="s">
        <v>423</v>
      </c>
      <c r="I503" s="75">
        <f>75000-65102.11</f>
        <v>9897.89</v>
      </c>
      <c r="J503" s="75">
        <f t="shared" si="0"/>
        <v>13197.186666666666</v>
      </c>
    </row>
    <row r="504" spans="1:10" ht="33.75">
      <c r="A504" s="3" t="s">
        <v>563</v>
      </c>
      <c r="B504" s="66">
        <v>2</v>
      </c>
      <c r="C504" s="8">
        <v>2</v>
      </c>
      <c r="D504" s="71" t="s">
        <v>582</v>
      </c>
      <c r="E504" s="3" t="s">
        <v>583</v>
      </c>
      <c r="F504" s="57" t="s">
        <v>587</v>
      </c>
      <c r="G504" s="8" t="s">
        <v>983</v>
      </c>
      <c r="H504" s="8" t="s">
        <v>423</v>
      </c>
      <c r="I504" s="67">
        <f>75000+45000</f>
        <v>120000</v>
      </c>
      <c r="J504" s="67">
        <f t="shared" si="0"/>
        <v>160000</v>
      </c>
    </row>
    <row r="505" spans="1:11" ht="33.75">
      <c r="A505" s="3" t="s">
        <v>563</v>
      </c>
      <c r="B505" s="66">
        <v>2</v>
      </c>
      <c r="C505" s="8">
        <v>2</v>
      </c>
      <c r="D505" s="71" t="s">
        <v>582</v>
      </c>
      <c r="E505" s="3" t="s">
        <v>583</v>
      </c>
      <c r="F505" s="57" t="s">
        <v>588</v>
      </c>
      <c r="G505" s="8" t="s">
        <v>983</v>
      </c>
      <c r="H505" s="8" t="s">
        <v>423</v>
      </c>
      <c r="I505" s="67">
        <f>75000+37500</f>
        <v>112500</v>
      </c>
      <c r="J505" s="67">
        <f t="shared" si="0"/>
        <v>150000</v>
      </c>
      <c r="K505" s="38"/>
    </row>
    <row r="506" spans="1:11" ht="33.75">
      <c r="A506" s="3" t="s">
        <v>563</v>
      </c>
      <c r="B506" s="66">
        <v>2</v>
      </c>
      <c r="C506" s="8">
        <v>2</v>
      </c>
      <c r="D506" s="71" t="s">
        <v>582</v>
      </c>
      <c r="E506" s="3" t="s">
        <v>583</v>
      </c>
      <c r="F506" s="59" t="s">
        <v>589</v>
      </c>
      <c r="G506" s="8" t="s">
        <v>983</v>
      </c>
      <c r="H506" s="8" t="s">
        <v>330</v>
      </c>
      <c r="I506" s="67">
        <v>75000</v>
      </c>
      <c r="J506" s="67">
        <f t="shared" si="0"/>
        <v>100000</v>
      </c>
      <c r="K506" s="38"/>
    </row>
    <row r="507" spans="1:11" ht="33.75">
      <c r="A507" s="3" t="s">
        <v>563</v>
      </c>
      <c r="B507" s="66">
        <v>2</v>
      </c>
      <c r="C507" s="8">
        <v>2</v>
      </c>
      <c r="D507" s="71" t="s">
        <v>582</v>
      </c>
      <c r="E507" s="3" t="s">
        <v>583</v>
      </c>
      <c r="F507" s="57" t="s">
        <v>590</v>
      </c>
      <c r="G507" s="8" t="s">
        <v>983</v>
      </c>
      <c r="H507" s="8" t="s">
        <v>423</v>
      </c>
      <c r="I507" s="67">
        <f>75000-36535.77</f>
        <v>38464.23</v>
      </c>
      <c r="J507" s="67">
        <f t="shared" si="0"/>
        <v>51285.64000000001</v>
      </c>
      <c r="K507" s="38"/>
    </row>
    <row r="508" spans="1:11" ht="33.75">
      <c r="A508" s="3" t="s">
        <v>563</v>
      </c>
      <c r="B508" s="66">
        <v>2</v>
      </c>
      <c r="C508" s="8">
        <v>2</v>
      </c>
      <c r="D508" s="71" t="s">
        <v>582</v>
      </c>
      <c r="E508" s="3" t="s">
        <v>583</v>
      </c>
      <c r="F508" s="57" t="s">
        <v>819</v>
      </c>
      <c r="G508" s="8" t="s">
        <v>984</v>
      </c>
      <c r="H508" s="8" t="s">
        <v>423</v>
      </c>
      <c r="I508" s="67">
        <v>50000</v>
      </c>
      <c r="J508" s="67">
        <f t="shared" si="0"/>
        <v>66666.66666666667</v>
      </c>
      <c r="K508" s="38"/>
    </row>
    <row r="509" spans="1:11" ht="33.75">
      <c r="A509" s="3" t="s">
        <v>563</v>
      </c>
      <c r="B509" s="66">
        <v>2</v>
      </c>
      <c r="C509" s="8">
        <v>2</v>
      </c>
      <c r="D509" s="71" t="s">
        <v>582</v>
      </c>
      <c r="E509" s="3" t="s">
        <v>583</v>
      </c>
      <c r="F509" s="57" t="s">
        <v>820</v>
      </c>
      <c r="G509" s="8" t="s">
        <v>984</v>
      </c>
      <c r="H509" s="8" t="s">
        <v>423</v>
      </c>
      <c r="I509" s="67">
        <v>50000</v>
      </c>
      <c r="J509" s="67">
        <f t="shared" si="0"/>
        <v>66666.66666666667</v>
      </c>
      <c r="K509" s="38"/>
    </row>
    <row r="510" spans="1:11" ht="33.75">
      <c r="A510" s="3" t="s">
        <v>563</v>
      </c>
      <c r="B510" s="66">
        <v>2</v>
      </c>
      <c r="C510" s="8">
        <v>2</v>
      </c>
      <c r="D510" s="71" t="s">
        <v>582</v>
      </c>
      <c r="E510" s="3" t="s">
        <v>583</v>
      </c>
      <c r="F510" s="57" t="s">
        <v>821</v>
      </c>
      <c r="G510" s="8" t="s">
        <v>984</v>
      </c>
      <c r="H510" s="8" t="s">
        <v>423</v>
      </c>
      <c r="I510" s="67">
        <v>50000</v>
      </c>
      <c r="J510" s="67">
        <f t="shared" si="0"/>
        <v>66666.66666666667</v>
      </c>
      <c r="K510" s="38"/>
    </row>
    <row r="511" spans="1:11" ht="33.75">
      <c r="A511" s="3" t="s">
        <v>563</v>
      </c>
      <c r="B511" s="66">
        <v>2</v>
      </c>
      <c r="C511" s="8">
        <v>2</v>
      </c>
      <c r="D511" s="71" t="s">
        <v>582</v>
      </c>
      <c r="E511" s="3" t="s">
        <v>583</v>
      </c>
      <c r="F511" s="57" t="s">
        <v>822</v>
      </c>
      <c r="G511" s="8" t="s">
        <v>984</v>
      </c>
      <c r="H511" s="8" t="s">
        <v>423</v>
      </c>
      <c r="I511" s="67">
        <v>50000</v>
      </c>
      <c r="J511" s="67">
        <f t="shared" si="0"/>
        <v>66666.66666666667</v>
      </c>
      <c r="K511" s="38"/>
    </row>
    <row r="512" spans="1:11" ht="33.75">
      <c r="A512" s="3" t="s">
        <v>563</v>
      </c>
      <c r="B512" s="66">
        <v>2</v>
      </c>
      <c r="C512" s="8">
        <v>2</v>
      </c>
      <c r="D512" s="71" t="s">
        <v>582</v>
      </c>
      <c r="E512" s="3" t="s">
        <v>583</v>
      </c>
      <c r="F512" s="57" t="s">
        <v>823</v>
      </c>
      <c r="G512" s="8" t="s">
        <v>984</v>
      </c>
      <c r="H512" s="8" t="s">
        <v>423</v>
      </c>
      <c r="I512" s="67">
        <v>50000</v>
      </c>
      <c r="J512" s="67">
        <f t="shared" si="0"/>
        <v>66666.66666666667</v>
      </c>
      <c r="K512" s="38"/>
    </row>
    <row r="513" spans="1:11" ht="33.75">
      <c r="A513" s="24" t="s">
        <v>563</v>
      </c>
      <c r="B513" s="6">
        <v>2</v>
      </c>
      <c r="C513" s="6">
        <v>2</v>
      </c>
      <c r="D513" s="61" t="s">
        <v>582</v>
      </c>
      <c r="E513" s="24" t="s">
        <v>583</v>
      </c>
      <c r="F513" s="63"/>
      <c r="G513" s="6"/>
      <c r="H513" s="6"/>
      <c r="I513" s="13">
        <f>SUBTOTAL(9,I501:I512)</f>
        <v>759612.12</v>
      </c>
      <c r="J513" s="13">
        <f>SUBTOTAL(9,J501:J512)</f>
        <v>1012816.1599999998</v>
      </c>
      <c r="K513" s="38"/>
    </row>
    <row r="514" spans="1:11" ht="33.75">
      <c r="A514" s="3" t="s">
        <v>563</v>
      </c>
      <c r="B514" s="66">
        <v>2</v>
      </c>
      <c r="C514" s="8">
        <v>2</v>
      </c>
      <c r="D514" s="71" t="s">
        <v>824</v>
      </c>
      <c r="E514" s="3" t="s">
        <v>825</v>
      </c>
      <c r="F514" s="57" t="s">
        <v>887</v>
      </c>
      <c r="G514" s="8" t="s">
        <v>984</v>
      </c>
      <c r="H514" s="8" t="s">
        <v>423</v>
      </c>
      <c r="I514" s="68">
        <f>75000-61280.58</f>
        <v>13719.419999999998</v>
      </c>
      <c r="J514" s="67">
        <f aca="true" t="shared" si="1" ref="J514:J531">I514/0.75</f>
        <v>18292.559999999998</v>
      </c>
      <c r="K514" s="38"/>
    </row>
    <row r="515" spans="1:11" ht="33.75">
      <c r="A515" s="3" t="s">
        <v>563</v>
      </c>
      <c r="B515" s="66">
        <v>2</v>
      </c>
      <c r="C515" s="8">
        <v>2</v>
      </c>
      <c r="D515" s="71" t="s">
        <v>824</v>
      </c>
      <c r="E515" s="3" t="s">
        <v>825</v>
      </c>
      <c r="F515" s="57" t="s">
        <v>361</v>
      </c>
      <c r="G515" s="8" t="s">
        <v>983</v>
      </c>
      <c r="H515" s="8" t="s">
        <v>423</v>
      </c>
      <c r="I515" s="68">
        <v>637500</v>
      </c>
      <c r="J515" s="67">
        <f t="shared" si="1"/>
        <v>850000</v>
      </c>
      <c r="K515" s="38"/>
    </row>
    <row r="516" spans="1:11" ht="45">
      <c r="A516" s="3" t="s">
        <v>563</v>
      </c>
      <c r="B516" s="66">
        <v>2</v>
      </c>
      <c r="C516" s="8">
        <v>2</v>
      </c>
      <c r="D516" s="71" t="s">
        <v>824</v>
      </c>
      <c r="E516" s="3" t="s">
        <v>825</v>
      </c>
      <c r="F516" s="57" t="s">
        <v>831</v>
      </c>
      <c r="G516" s="8" t="s">
        <v>983</v>
      </c>
      <c r="H516" s="8" t="s">
        <v>423</v>
      </c>
      <c r="I516" s="68">
        <v>1125000</v>
      </c>
      <c r="J516" s="67">
        <f t="shared" si="1"/>
        <v>1500000</v>
      </c>
      <c r="K516" s="38"/>
    </row>
    <row r="517" spans="1:11" ht="45">
      <c r="A517" s="3" t="s">
        <v>563</v>
      </c>
      <c r="B517" s="66">
        <v>2</v>
      </c>
      <c r="C517" s="8">
        <v>2</v>
      </c>
      <c r="D517" s="71" t="s">
        <v>824</v>
      </c>
      <c r="E517" s="3" t="s">
        <v>825</v>
      </c>
      <c r="F517" s="57" t="s">
        <v>830</v>
      </c>
      <c r="G517" s="8" t="s">
        <v>983</v>
      </c>
      <c r="H517" s="8" t="s">
        <v>423</v>
      </c>
      <c r="I517" s="68">
        <v>618750</v>
      </c>
      <c r="J517" s="67">
        <f t="shared" si="1"/>
        <v>825000</v>
      </c>
      <c r="K517" s="38"/>
    </row>
    <row r="518" spans="1:11" ht="33.75">
      <c r="A518" s="3" t="s">
        <v>563</v>
      </c>
      <c r="B518" s="66">
        <v>2</v>
      </c>
      <c r="C518" s="8">
        <v>2</v>
      </c>
      <c r="D518" s="71" t="s">
        <v>824</v>
      </c>
      <c r="E518" s="3" t="s">
        <v>825</v>
      </c>
      <c r="F518" s="57" t="s">
        <v>828</v>
      </c>
      <c r="G518" s="8" t="s">
        <v>983</v>
      </c>
      <c r="H518" s="8" t="s">
        <v>423</v>
      </c>
      <c r="I518" s="68">
        <f>112500+36173.5</f>
        <v>148673.5</v>
      </c>
      <c r="J518" s="67">
        <f t="shared" si="1"/>
        <v>198231.33333333334</v>
      </c>
      <c r="K518" s="38"/>
    </row>
    <row r="519" spans="1:11" ht="33.75">
      <c r="A519" s="3" t="s">
        <v>563</v>
      </c>
      <c r="B519" s="66">
        <v>2</v>
      </c>
      <c r="C519" s="8">
        <v>2</v>
      </c>
      <c r="D519" s="71" t="s">
        <v>824</v>
      </c>
      <c r="E519" s="3" t="s">
        <v>825</v>
      </c>
      <c r="F519" s="57" t="s">
        <v>829</v>
      </c>
      <c r="G519" s="8" t="s">
        <v>983</v>
      </c>
      <c r="H519" s="8" t="s">
        <v>423</v>
      </c>
      <c r="I519" s="68">
        <v>562500</v>
      </c>
      <c r="J519" s="67">
        <f t="shared" si="1"/>
        <v>750000</v>
      </c>
      <c r="K519" s="38"/>
    </row>
    <row r="520" spans="1:10" ht="45">
      <c r="A520" s="3" t="s">
        <v>563</v>
      </c>
      <c r="B520" s="66">
        <v>2</v>
      </c>
      <c r="C520" s="8">
        <v>2</v>
      </c>
      <c r="D520" s="71" t="s">
        <v>824</v>
      </c>
      <c r="E520" s="3" t="s">
        <v>825</v>
      </c>
      <c r="F520" s="57" t="s">
        <v>875</v>
      </c>
      <c r="G520" s="8" t="s">
        <v>983</v>
      </c>
      <c r="H520" s="8" t="s">
        <v>423</v>
      </c>
      <c r="I520" s="68">
        <v>468750</v>
      </c>
      <c r="J520" s="67">
        <f t="shared" si="1"/>
        <v>625000</v>
      </c>
    </row>
    <row r="521" spans="1:10" ht="33.75">
      <c r="A521" s="60" t="s">
        <v>563</v>
      </c>
      <c r="B521" s="70">
        <v>2</v>
      </c>
      <c r="C521" s="64">
        <v>2</v>
      </c>
      <c r="D521" s="72" t="s">
        <v>824</v>
      </c>
      <c r="E521" s="3" t="s">
        <v>825</v>
      </c>
      <c r="F521" s="73" t="s">
        <v>343</v>
      </c>
      <c r="G521" s="64" t="s">
        <v>984</v>
      </c>
      <c r="H521" s="64" t="s">
        <v>423</v>
      </c>
      <c r="I521" s="76">
        <v>80000</v>
      </c>
      <c r="J521" s="75">
        <f t="shared" si="1"/>
        <v>106666.66666666667</v>
      </c>
    </row>
    <row r="522" spans="1:10" ht="33.75">
      <c r="A522" s="3" t="s">
        <v>563</v>
      </c>
      <c r="B522" s="66">
        <v>2</v>
      </c>
      <c r="C522" s="8">
        <v>2</v>
      </c>
      <c r="D522" s="71" t="s">
        <v>824</v>
      </c>
      <c r="E522" s="3" t="s">
        <v>825</v>
      </c>
      <c r="F522" s="59" t="s">
        <v>202</v>
      </c>
      <c r="G522" s="8" t="s">
        <v>983</v>
      </c>
      <c r="H522" s="8" t="s">
        <v>330</v>
      </c>
      <c r="I522" s="68">
        <v>1412612.02</v>
      </c>
      <c r="J522" s="67">
        <f t="shared" si="1"/>
        <v>1883482.6933333334</v>
      </c>
    </row>
    <row r="523" spans="1:10" ht="33.75">
      <c r="A523" s="3" t="s">
        <v>563</v>
      </c>
      <c r="B523" s="66">
        <v>2</v>
      </c>
      <c r="C523" s="8">
        <v>2</v>
      </c>
      <c r="D523" s="71" t="s">
        <v>824</v>
      </c>
      <c r="E523" s="3" t="s">
        <v>825</v>
      </c>
      <c r="F523" s="57" t="s">
        <v>819</v>
      </c>
      <c r="G523" s="8" t="s">
        <v>984</v>
      </c>
      <c r="H523" s="8" t="s">
        <v>423</v>
      </c>
      <c r="I523" s="67">
        <v>100000</v>
      </c>
      <c r="J523" s="67">
        <f t="shared" si="1"/>
        <v>133333.33333333334</v>
      </c>
    </row>
    <row r="524" spans="1:10" ht="33.75">
      <c r="A524" s="3" t="s">
        <v>563</v>
      </c>
      <c r="B524" s="66">
        <v>2</v>
      </c>
      <c r="C524" s="8">
        <v>2</v>
      </c>
      <c r="D524" s="71" t="s">
        <v>824</v>
      </c>
      <c r="E524" s="3" t="s">
        <v>825</v>
      </c>
      <c r="F524" s="57" t="s">
        <v>344</v>
      </c>
      <c r="G524" s="8" t="s">
        <v>984</v>
      </c>
      <c r="H524" s="8" t="s">
        <v>423</v>
      </c>
      <c r="I524" s="67">
        <v>150000</v>
      </c>
      <c r="J524" s="67">
        <f t="shared" si="1"/>
        <v>200000</v>
      </c>
    </row>
    <row r="525" spans="1:10" ht="33.75">
      <c r="A525" s="3" t="s">
        <v>563</v>
      </c>
      <c r="B525" s="66">
        <v>2</v>
      </c>
      <c r="C525" s="8">
        <v>2</v>
      </c>
      <c r="D525" s="71" t="s">
        <v>824</v>
      </c>
      <c r="E525" s="3" t="s">
        <v>825</v>
      </c>
      <c r="F525" s="57" t="s">
        <v>345</v>
      </c>
      <c r="G525" s="8" t="s">
        <v>984</v>
      </c>
      <c r="H525" s="8" t="s">
        <v>423</v>
      </c>
      <c r="I525" s="67">
        <v>175000</v>
      </c>
      <c r="J525" s="67">
        <f t="shared" si="1"/>
        <v>233333.33333333334</v>
      </c>
    </row>
    <row r="526" spans="1:10" ht="33.75">
      <c r="A526" s="60" t="s">
        <v>563</v>
      </c>
      <c r="B526" s="70">
        <v>2</v>
      </c>
      <c r="C526" s="64">
        <v>2</v>
      </c>
      <c r="D526" s="72" t="s">
        <v>824</v>
      </c>
      <c r="E526" s="3" t="s">
        <v>825</v>
      </c>
      <c r="F526" s="73" t="s">
        <v>820</v>
      </c>
      <c r="G526" s="64" t="s">
        <v>984</v>
      </c>
      <c r="H526" s="64" t="s">
        <v>423</v>
      </c>
      <c r="I526" s="76">
        <f>175000+100000</f>
        <v>275000</v>
      </c>
      <c r="J526" s="75">
        <f t="shared" si="1"/>
        <v>366666.6666666667</v>
      </c>
    </row>
    <row r="527" spans="1:10" ht="33.75">
      <c r="A527" s="3" t="s">
        <v>563</v>
      </c>
      <c r="B527" s="66">
        <v>2</v>
      </c>
      <c r="C527" s="8">
        <v>2</v>
      </c>
      <c r="D527" s="71" t="s">
        <v>824</v>
      </c>
      <c r="E527" s="3" t="s">
        <v>825</v>
      </c>
      <c r="F527" s="57" t="s">
        <v>389</v>
      </c>
      <c r="G527" s="8" t="s">
        <v>984</v>
      </c>
      <c r="H527" s="8" t="s">
        <v>423</v>
      </c>
      <c r="I527" s="67">
        <v>100000</v>
      </c>
      <c r="J527" s="67">
        <f t="shared" si="1"/>
        <v>133333.33333333334</v>
      </c>
    </row>
    <row r="528" spans="1:10" ht="33.75">
      <c r="A528" s="3" t="s">
        <v>563</v>
      </c>
      <c r="B528" s="66">
        <v>2</v>
      </c>
      <c r="C528" s="8">
        <v>2</v>
      </c>
      <c r="D528" s="71" t="s">
        <v>824</v>
      </c>
      <c r="E528" s="3" t="s">
        <v>825</v>
      </c>
      <c r="F528" s="57" t="s">
        <v>390</v>
      </c>
      <c r="G528" s="8" t="s">
        <v>984</v>
      </c>
      <c r="H528" s="8" t="s">
        <v>423</v>
      </c>
      <c r="I528" s="67">
        <v>200000</v>
      </c>
      <c r="J528" s="67">
        <f t="shared" si="1"/>
        <v>266666.6666666667</v>
      </c>
    </row>
    <row r="529" spans="1:10" ht="33.75">
      <c r="A529" s="3" t="s">
        <v>563</v>
      </c>
      <c r="B529" s="66">
        <v>2</v>
      </c>
      <c r="C529" s="8">
        <v>2</v>
      </c>
      <c r="D529" s="71" t="s">
        <v>824</v>
      </c>
      <c r="E529" s="3" t="s">
        <v>825</v>
      </c>
      <c r="F529" s="57" t="s">
        <v>391</v>
      </c>
      <c r="G529" s="8" t="s">
        <v>984</v>
      </c>
      <c r="H529" s="8" t="s">
        <v>423</v>
      </c>
      <c r="I529" s="67">
        <v>125000</v>
      </c>
      <c r="J529" s="67">
        <f t="shared" si="1"/>
        <v>166666.66666666666</v>
      </c>
    </row>
    <row r="530" spans="1:10" ht="33.75">
      <c r="A530" s="60" t="s">
        <v>563</v>
      </c>
      <c r="B530" s="70">
        <v>2</v>
      </c>
      <c r="C530" s="64">
        <v>2</v>
      </c>
      <c r="D530" s="72" t="s">
        <v>824</v>
      </c>
      <c r="E530" s="3" t="s">
        <v>825</v>
      </c>
      <c r="F530" s="73" t="s">
        <v>392</v>
      </c>
      <c r="G530" s="64" t="s">
        <v>984</v>
      </c>
      <c r="H530" s="64" t="s">
        <v>423</v>
      </c>
      <c r="I530" s="75">
        <v>185000</v>
      </c>
      <c r="J530" s="75">
        <f t="shared" si="1"/>
        <v>246666.66666666666</v>
      </c>
    </row>
    <row r="531" spans="1:10" ht="33.75">
      <c r="A531" s="3" t="s">
        <v>563</v>
      </c>
      <c r="B531" s="66">
        <v>2</v>
      </c>
      <c r="C531" s="8">
        <v>2</v>
      </c>
      <c r="D531" s="71" t="s">
        <v>824</v>
      </c>
      <c r="E531" s="3" t="s">
        <v>825</v>
      </c>
      <c r="F531" s="57" t="s">
        <v>823</v>
      </c>
      <c r="G531" s="8" t="s">
        <v>984</v>
      </c>
      <c r="H531" s="8" t="s">
        <v>423</v>
      </c>
      <c r="I531" s="67">
        <v>75000</v>
      </c>
      <c r="J531" s="67">
        <f t="shared" si="1"/>
        <v>100000</v>
      </c>
    </row>
    <row r="532" spans="1:10" ht="33.75">
      <c r="A532" s="24" t="s">
        <v>563</v>
      </c>
      <c r="B532" s="6">
        <v>2</v>
      </c>
      <c r="C532" s="6">
        <v>2</v>
      </c>
      <c r="D532" s="61" t="s">
        <v>824</v>
      </c>
      <c r="E532" s="24"/>
      <c r="F532" s="63"/>
      <c r="G532" s="6"/>
      <c r="H532" s="6"/>
      <c r="I532" s="13">
        <f>SUBTOTAL(9,I514:I531)</f>
        <v>6452504.9399999995</v>
      </c>
      <c r="J532" s="13">
        <f>SUBTOTAL(9,J514:J531)</f>
        <v>8603339.92</v>
      </c>
    </row>
    <row r="533" spans="1:10" ht="33.75">
      <c r="A533" s="3" t="s">
        <v>562</v>
      </c>
      <c r="B533" s="66">
        <v>2</v>
      </c>
      <c r="C533" s="8">
        <v>2</v>
      </c>
      <c r="D533" s="71" t="s">
        <v>849</v>
      </c>
      <c r="E533" s="3" t="s">
        <v>667</v>
      </c>
      <c r="F533" s="57" t="s">
        <v>723</v>
      </c>
      <c r="G533" s="8" t="s">
        <v>984</v>
      </c>
      <c r="H533" s="8" t="s">
        <v>423</v>
      </c>
      <c r="I533" s="68">
        <v>0</v>
      </c>
      <c r="J533" s="67">
        <f>I533/0.75</f>
        <v>0</v>
      </c>
    </row>
    <row r="534" spans="1:10" ht="33.75">
      <c r="A534" s="60" t="s">
        <v>562</v>
      </c>
      <c r="B534" s="70">
        <v>2</v>
      </c>
      <c r="C534" s="64">
        <v>2</v>
      </c>
      <c r="D534" s="72" t="s">
        <v>849</v>
      </c>
      <c r="E534" s="3" t="s">
        <v>667</v>
      </c>
      <c r="F534" s="73" t="s">
        <v>324</v>
      </c>
      <c r="G534" s="64" t="s">
        <v>983</v>
      </c>
      <c r="H534" s="64" t="s">
        <v>423</v>
      </c>
      <c r="I534" s="75">
        <v>549000</v>
      </c>
      <c r="J534" s="75">
        <f>I534/0.75</f>
        <v>732000</v>
      </c>
    </row>
    <row r="535" spans="1:10" ht="33.75">
      <c r="A535" s="3" t="s">
        <v>562</v>
      </c>
      <c r="B535" s="66">
        <v>2</v>
      </c>
      <c r="C535" s="8">
        <v>2</v>
      </c>
      <c r="D535" s="71" t="s">
        <v>849</v>
      </c>
      <c r="E535" s="3" t="s">
        <v>667</v>
      </c>
      <c r="F535" s="59" t="s">
        <v>850</v>
      </c>
      <c r="G535" s="8" t="s">
        <v>983</v>
      </c>
      <c r="H535" s="8" t="s">
        <v>330</v>
      </c>
      <c r="I535" s="67">
        <v>871762.5</v>
      </c>
      <c r="J535" s="67">
        <f>I535/0.75</f>
        <v>1162350</v>
      </c>
    </row>
    <row r="536" spans="1:10" ht="33.75">
      <c r="A536" s="3" t="s">
        <v>562</v>
      </c>
      <c r="B536" s="66">
        <v>2</v>
      </c>
      <c r="C536" s="8">
        <v>2</v>
      </c>
      <c r="D536" s="71" t="s">
        <v>849</v>
      </c>
      <c r="E536" s="3" t="s">
        <v>667</v>
      </c>
      <c r="F536" s="57" t="s">
        <v>851</v>
      </c>
      <c r="G536" s="8" t="s">
        <v>984</v>
      </c>
      <c r="H536" s="8" t="s">
        <v>423</v>
      </c>
      <c r="I536" s="67">
        <v>50000</v>
      </c>
      <c r="J536" s="67">
        <f>I536/0.75</f>
        <v>66666.66666666667</v>
      </c>
    </row>
    <row r="537" spans="1:10" ht="33.75">
      <c r="A537" s="42" t="s">
        <v>562</v>
      </c>
      <c r="B537" s="43">
        <v>2</v>
      </c>
      <c r="C537" s="43">
        <v>2</v>
      </c>
      <c r="D537" s="62" t="s">
        <v>849</v>
      </c>
      <c r="E537" s="24" t="s">
        <v>667</v>
      </c>
      <c r="F537" s="58"/>
      <c r="G537" s="43"/>
      <c r="H537" s="43"/>
      <c r="I537" s="65">
        <f>SUBTOTAL(9,I533:I536)</f>
        <v>1470762.5</v>
      </c>
      <c r="J537" s="65">
        <f>SUBTOTAL(9,J533:J536)</f>
        <v>1961016.6666666667</v>
      </c>
    </row>
    <row r="538" spans="1:10" ht="33.75">
      <c r="A538" s="3" t="s">
        <v>562</v>
      </c>
      <c r="B538" s="66">
        <v>2</v>
      </c>
      <c r="C538" s="8">
        <v>4</v>
      </c>
      <c r="D538" s="71" t="s">
        <v>852</v>
      </c>
      <c r="E538" s="3" t="s">
        <v>717</v>
      </c>
      <c r="F538" s="59" t="s">
        <v>850</v>
      </c>
      <c r="G538" s="8" t="s">
        <v>983</v>
      </c>
      <c r="H538" s="8" t="s">
        <v>330</v>
      </c>
      <c r="I538" s="67">
        <v>971036.77</v>
      </c>
      <c r="J538" s="67">
        <f>I538/0.75</f>
        <v>1294715.6933333334</v>
      </c>
    </row>
    <row r="539" spans="1:10" ht="33.75">
      <c r="A539" s="3" t="s">
        <v>562</v>
      </c>
      <c r="B539" s="66">
        <v>2</v>
      </c>
      <c r="C539" s="8">
        <v>4</v>
      </c>
      <c r="D539" s="71" t="s">
        <v>852</v>
      </c>
      <c r="E539" s="3" t="s">
        <v>717</v>
      </c>
      <c r="F539" s="57" t="s">
        <v>799</v>
      </c>
      <c r="G539" s="8" t="s">
        <v>984</v>
      </c>
      <c r="H539" s="8" t="s">
        <v>423</v>
      </c>
      <c r="I539" s="69">
        <v>0</v>
      </c>
      <c r="J539" s="67">
        <f>I539/0.75</f>
        <v>0</v>
      </c>
    </row>
    <row r="540" spans="1:10" ht="33.75">
      <c r="A540" s="3" t="s">
        <v>562</v>
      </c>
      <c r="B540" s="66">
        <v>2</v>
      </c>
      <c r="C540" s="8">
        <v>4</v>
      </c>
      <c r="D540" s="71" t="s">
        <v>852</v>
      </c>
      <c r="E540" s="3" t="s">
        <v>717</v>
      </c>
      <c r="F540" s="57" t="s">
        <v>851</v>
      </c>
      <c r="G540" s="8" t="s">
        <v>984</v>
      </c>
      <c r="H540" s="8" t="s">
        <v>423</v>
      </c>
      <c r="I540" s="67">
        <v>200000</v>
      </c>
      <c r="J540" s="67">
        <f>I540/0.75</f>
        <v>266666.6666666667</v>
      </c>
    </row>
    <row r="541" spans="1:10" ht="33.75">
      <c r="A541" s="42" t="s">
        <v>562</v>
      </c>
      <c r="B541" s="43">
        <v>2</v>
      </c>
      <c r="C541" s="43">
        <v>4</v>
      </c>
      <c r="D541" s="62" t="s">
        <v>852</v>
      </c>
      <c r="E541" s="24" t="s">
        <v>717</v>
      </c>
      <c r="F541" s="58"/>
      <c r="G541" s="43"/>
      <c r="H541" s="43"/>
      <c r="I541" s="65">
        <f>SUBTOTAL(9,I538:I540)</f>
        <v>1171036.77</v>
      </c>
      <c r="J541" s="65">
        <f>SUBTOTAL(9,J538:J540)</f>
        <v>1561382.36</v>
      </c>
    </row>
    <row r="542" spans="1:10" ht="33.75">
      <c r="A542" s="3" t="s">
        <v>564</v>
      </c>
      <c r="B542" s="66">
        <v>2</v>
      </c>
      <c r="C542" s="8">
        <v>3</v>
      </c>
      <c r="D542" s="71" t="s">
        <v>800</v>
      </c>
      <c r="E542" s="3" t="s">
        <v>801</v>
      </c>
      <c r="F542" s="59" t="s">
        <v>351</v>
      </c>
      <c r="G542" s="8" t="s">
        <v>983</v>
      </c>
      <c r="H542" s="8" t="s">
        <v>330</v>
      </c>
      <c r="I542" s="67">
        <f>653050.47+225000</f>
        <v>878050.47</v>
      </c>
      <c r="J542" s="68">
        <f>I542/0.75</f>
        <v>1170733.96</v>
      </c>
    </row>
    <row r="543" spans="1:10" ht="33.75">
      <c r="A543" s="3" t="s">
        <v>564</v>
      </c>
      <c r="B543" s="66">
        <v>2</v>
      </c>
      <c r="C543" s="8">
        <v>3</v>
      </c>
      <c r="D543" s="71" t="s">
        <v>800</v>
      </c>
      <c r="E543" s="3" t="s">
        <v>801</v>
      </c>
      <c r="F543" s="57" t="s">
        <v>352</v>
      </c>
      <c r="G543" s="8" t="s">
        <v>984</v>
      </c>
      <c r="H543" s="8" t="s">
        <v>423</v>
      </c>
      <c r="I543" s="67">
        <v>151085.21</v>
      </c>
      <c r="J543" s="67">
        <f>I543/0.75</f>
        <v>201446.94666666666</v>
      </c>
    </row>
    <row r="544" spans="1:10" ht="33.75">
      <c r="A544" s="3" t="s">
        <v>564</v>
      </c>
      <c r="B544" s="66">
        <v>2</v>
      </c>
      <c r="C544" s="8">
        <v>3</v>
      </c>
      <c r="D544" s="71" t="s">
        <v>800</v>
      </c>
      <c r="E544" s="3" t="s">
        <v>801</v>
      </c>
      <c r="F544" s="57" t="s">
        <v>353</v>
      </c>
      <c r="G544" s="8" t="s">
        <v>984</v>
      </c>
      <c r="H544" s="8" t="s">
        <v>423</v>
      </c>
      <c r="I544" s="67">
        <v>194769.16</v>
      </c>
      <c r="J544" s="67">
        <f>I544/0.75</f>
        <v>259692.21333333335</v>
      </c>
    </row>
    <row r="545" spans="1:10" ht="33.75">
      <c r="A545" s="3" t="s">
        <v>564</v>
      </c>
      <c r="B545" s="66">
        <v>2</v>
      </c>
      <c r="C545" s="8">
        <v>3</v>
      </c>
      <c r="D545" s="71" t="s">
        <v>800</v>
      </c>
      <c r="E545" s="3" t="s">
        <v>801</v>
      </c>
      <c r="F545" s="57" t="s">
        <v>354</v>
      </c>
      <c r="G545" s="8" t="s">
        <v>984</v>
      </c>
      <c r="H545" s="8" t="s">
        <v>423</v>
      </c>
      <c r="I545" s="67">
        <v>35367.98</v>
      </c>
      <c r="J545" s="67">
        <f>I545/0.75</f>
        <v>47157.30666666667</v>
      </c>
    </row>
    <row r="546" spans="1:10" ht="33.75">
      <c r="A546" s="3" t="s">
        <v>564</v>
      </c>
      <c r="B546" s="66">
        <v>2</v>
      </c>
      <c r="C546" s="8">
        <v>3</v>
      </c>
      <c r="D546" s="71" t="s">
        <v>800</v>
      </c>
      <c r="E546" s="3" t="s">
        <v>801</v>
      </c>
      <c r="F546" s="57" t="s">
        <v>716</v>
      </c>
      <c r="G546" s="8" t="s">
        <v>984</v>
      </c>
      <c r="H546" s="8" t="s">
        <v>423</v>
      </c>
      <c r="I546" s="67">
        <v>5000</v>
      </c>
      <c r="J546" s="67">
        <f>I546/0.75</f>
        <v>6666.666666666667</v>
      </c>
    </row>
    <row r="547" spans="1:10" ht="33.75">
      <c r="A547" s="24" t="s">
        <v>564</v>
      </c>
      <c r="B547" s="6">
        <v>2</v>
      </c>
      <c r="C547" s="6">
        <v>3</v>
      </c>
      <c r="D547" s="61" t="s">
        <v>800</v>
      </c>
      <c r="E547" s="24" t="s">
        <v>801</v>
      </c>
      <c r="F547" s="63"/>
      <c r="G547" s="6"/>
      <c r="H547" s="6"/>
      <c r="I547" s="13">
        <f>SUBTOTAL(9,I542:I546)</f>
        <v>1264272.8199999998</v>
      </c>
      <c r="J547" s="13">
        <f>SUBTOTAL(9,J542:J546)</f>
        <v>1685697.0933333335</v>
      </c>
    </row>
    <row r="548" spans="1:10" ht="45">
      <c r="A548" s="3" t="s">
        <v>563</v>
      </c>
      <c r="B548" s="66">
        <v>2</v>
      </c>
      <c r="C548" s="8">
        <v>1</v>
      </c>
      <c r="D548" s="71" t="s">
        <v>356</v>
      </c>
      <c r="E548" s="3" t="s">
        <v>367</v>
      </c>
      <c r="F548" s="59" t="s">
        <v>359</v>
      </c>
      <c r="G548" s="8" t="s">
        <v>983</v>
      </c>
      <c r="H548" s="8" t="s">
        <v>330</v>
      </c>
      <c r="I548" s="67">
        <f>1000000-15000</f>
        <v>985000</v>
      </c>
      <c r="J548" s="67">
        <f>I548/0.75</f>
        <v>1313333.3333333333</v>
      </c>
    </row>
    <row r="549" spans="1:10" ht="45">
      <c r="A549" s="3" t="s">
        <v>563</v>
      </c>
      <c r="B549" s="66">
        <v>2</v>
      </c>
      <c r="C549" s="8">
        <v>1</v>
      </c>
      <c r="D549" s="71" t="s">
        <v>356</v>
      </c>
      <c r="E549" s="3" t="s">
        <v>367</v>
      </c>
      <c r="F549" s="57" t="s">
        <v>369</v>
      </c>
      <c r="G549" s="8" t="s">
        <v>983</v>
      </c>
      <c r="H549" s="8" t="s">
        <v>423</v>
      </c>
      <c r="I549" s="67">
        <f>107250+15000</f>
        <v>122250</v>
      </c>
      <c r="J549" s="67">
        <f>I549/0.75</f>
        <v>163000</v>
      </c>
    </row>
    <row r="550" spans="1:10" ht="45">
      <c r="A550" s="3" t="s">
        <v>563</v>
      </c>
      <c r="B550" s="66">
        <v>2</v>
      </c>
      <c r="C550" s="8">
        <v>1</v>
      </c>
      <c r="D550" s="71" t="s">
        <v>356</v>
      </c>
      <c r="E550" s="3" t="s">
        <v>367</v>
      </c>
      <c r="F550" s="57" t="s">
        <v>828</v>
      </c>
      <c r="G550" s="8" t="s">
        <v>983</v>
      </c>
      <c r="H550" s="8" t="s">
        <v>423</v>
      </c>
      <c r="I550" s="67">
        <f>75000-36173.51</f>
        <v>38826.49</v>
      </c>
      <c r="J550" s="67">
        <f>I550/0.75</f>
        <v>51768.65333333333</v>
      </c>
    </row>
    <row r="551" spans="1:10" ht="45">
      <c r="A551" s="60" t="s">
        <v>563</v>
      </c>
      <c r="B551" s="70">
        <v>2</v>
      </c>
      <c r="C551" s="64">
        <v>1</v>
      </c>
      <c r="D551" s="72" t="s">
        <v>356</v>
      </c>
      <c r="E551" s="3" t="s">
        <v>367</v>
      </c>
      <c r="F551" s="73" t="s">
        <v>357</v>
      </c>
      <c r="G551" s="64" t="s">
        <v>984</v>
      </c>
      <c r="H551" s="64" t="s">
        <v>423</v>
      </c>
      <c r="I551" s="75">
        <v>40000</v>
      </c>
      <c r="J551" s="75">
        <f>I551/0.75</f>
        <v>53333.333333333336</v>
      </c>
    </row>
    <row r="552" spans="1:10" ht="45">
      <c r="A552" s="3" t="s">
        <v>563</v>
      </c>
      <c r="B552" s="66">
        <v>2</v>
      </c>
      <c r="C552" s="8">
        <v>1</v>
      </c>
      <c r="D552" s="71" t="s">
        <v>356</v>
      </c>
      <c r="E552" s="3" t="s">
        <v>367</v>
      </c>
      <c r="F552" s="57" t="s">
        <v>370</v>
      </c>
      <c r="G552" s="8" t="s">
        <v>984</v>
      </c>
      <c r="H552" s="8" t="s">
        <v>423</v>
      </c>
      <c r="I552" s="67">
        <v>50000.33</v>
      </c>
      <c r="J552" s="67">
        <f>I552/0.75</f>
        <v>66667.10666666667</v>
      </c>
    </row>
    <row r="553" spans="1:10" ht="45">
      <c r="A553" s="24" t="s">
        <v>563</v>
      </c>
      <c r="B553" s="6">
        <v>2</v>
      </c>
      <c r="C553" s="6">
        <v>1</v>
      </c>
      <c r="D553" s="61" t="s">
        <v>356</v>
      </c>
      <c r="E553" s="24" t="s">
        <v>367</v>
      </c>
      <c r="F553" s="63"/>
      <c r="G553" s="6"/>
      <c r="H553" s="6"/>
      <c r="I553" s="13">
        <f>SUBTOTAL(9,I548:I552)</f>
        <v>1236076.82</v>
      </c>
      <c r="J553" s="13">
        <f>SUBTOTAL(9,J548:J552)</f>
        <v>1648102.4266666665</v>
      </c>
    </row>
    <row r="554" spans="1:10" ht="33.75">
      <c r="A554" s="3" t="s">
        <v>563</v>
      </c>
      <c r="B554" s="66">
        <v>2</v>
      </c>
      <c r="C554" s="8">
        <v>3</v>
      </c>
      <c r="D554" s="71" t="s">
        <v>358</v>
      </c>
      <c r="E554" s="3" t="s">
        <v>216</v>
      </c>
      <c r="F554" s="57" t="s">
        <v>413</v>
      </c>
      <c r="G554" s="8" t="s">
        <v>983</v>
      </c>
      <c r="H554" s="8" t="s">
        <v>423</v>
      </c>
      <c r="I554" s="67">
        <v>75000</v>
      </c>
      <c r="J554" s="67">
        <f aca="true" t="shared" si="2" ref="J554:J567">I554/0.75</f>
        <v>100000</v>
      </c>
    </row>
    <row r="555" spans="1:10" ht="33.75">
      <c r="A555" s="3" t="s">
        <v>563</v>
      </c>
      <c r="B555" s="66">
        <v>2</v>
      </c>
      <c r="C555" s="8">
        <v>3</v>
      </c>
      <c r="D555" s="71" t="s">
        <v>358</v>
      </c>
      <c r="E555" s="3" t="s">
        <v>216</v>
      </c>
      <c r="F555" s="57" t="s">
        <v>604</v>
      </c>
      <c r="G555" s="8" t="s">
        <v>984</v>
      </c>
      <c r="H555" s="8" t="s">
        <v>423</v>
      </c>
      <c r="I555" s="67">
        <f>50000-46423.47</f>
        <v>3576.529999999999</v>
      </c>
      <c r="J555" s="67">
        <f t="shared" si="2"/>
        <v>4768.706666666665</v>
      </c>
    </row>
    <row r="556" spans="1:10" ht="33.75">
      <c r="A556" s="3" t="s">
        <v>563</v>
      </c>
      <c r="B556" s="66">
        <v>2</v>
      </c>
      <c r="C556" s="8">
        <v>3</v>
      </c>
      <c r="D556" s="71" t="s">
        <v>358</v>
      </c>
      <c r="E556" s="3" t="s">
        <v>216</v>
      </c>
      <c r="F556" s="57" t="s">
        <v>885</v>
      </c>
      <c r="G556" s="8" t="s">
        <v>984</v>
      </c>
      <c r="H556" s="8" t="s">
        <v>423</v>
      </c>
      <c r="I556" s="67">
        <f>0+46423.47</f>
        <v>46423.47</v>
      </c>
      <c r="J556" s="67">
        <f t="shared" si="2"/>
        <v>61897.96</v>
      </c>
    </row>
    <row r="557" spans="1:10" ht="33.75">
      <c r="A557" s="3" t="s">
        <v>563</v>
      </c>
      <c r="B557" s="66">
        <v>2</v>
      </c>
      <c r="C557" s="8">
        <v>3</v>
      </c>
      <c r="D557" s="71" t="s">
        <v>358</v>
      </c>
      <c r="E557" s="3" t="s">
        <v>216</v>
      </c>
      <c r="F557" s="57" t="s">
        <v>605</v>
      </c>
      <c r="G557" s="8" t="s">
        <v>984</v>
      </c>
      <c r="H557" s="8" t="s">
        <v>423</v>
      </c>
      <c r="I557" s="67">
        <f>50000+25000</f>
        <v>75000</v>
      </c>
      <c r="J557" s="67">
        <f t="shared" si="2"/>
        <v>100000</v>
      </c>
    </row>
    <row r="558" spans="1:10" ht="33.75">
      <c r="A558" s="3" t="s">
        <v>563</v>
      </c>
      <c r="B558" s="66">
        <v>2</v>
      </c>
      <c r="C558" s="8">
        <v>3</v>
      </c>
      <c r="D558" s="71" t="s">
        <v>358</v>
      </c>
      <c r="E558" s="3" t="s">
        <v>216</v>
      </c>
      <c r="F558" s="57" t="s">
        <v>606</v>
      </c>
      <c r="G558" s="8" t="s">
        <v>984</v>
      </c>
      <c r="H558" s="8" t="s">
        <v>423</v>
      </c>
      <c r="I558" s="67">
        <v>90000</v>
      </c>
      <c r="J558" s="67">
        <f t="shared" si="2"/>
        <v>120000</v>
      </c>
    </row>
    <row r="559" spans="1:10" ht="45">
      <c r="A559" s="3" t="s">
        <v>563</v>
      </c>
      <c r="B559" s="66">
        <v>2</v>
      </c>
      <c r="C559" s="8">
        <v>3</v>
      </c>
      <c r="D559" s="71" t="s">
        <v>358</v>
      </c>
      <c r="E559" s="3" t="s">
        <v>216</v>
      </c>
      <c r="F559" s="59" t="s">
        <v>832</v>
      </c>
      <c r="G559" s="8" t="s">
        <v>983</v>
      </c>
      <c r="H559" s="8" t="s">
        <v>330</v>
      </c>
      <c r="I559" s="67">
        <f>749973.75-733567.72</f>
        <v>16406.030000000028</v>
      </c>
      <c r="J559" s="67">
        <f t="shared" si="2"/>
        <v>21874.706666666705</v>
      </c>
    </row>
    <row r="560" spans="1:10" ht="56.25">
      <c r="A560" s="60" t="s">
        <v>563</v>
      </c>
      <c r="B560" s="70">
        <v>2</v>
      </c>
      <c r="C560" s="64">
        <v>3</v>
      </c>
      <c r="D560" s="72" t="s">
        <v>358</v>
      </c>
      <c r="E560" s="3" t="s">
        <v>216</v>
      </c>
      <c r="F560" s="74" t="s">
        <v>875</v>
      </c>
      <c r="G560" s="64" t="s">
        <v>983</v>
      </c>
      <c r="H560" s="64" t="s">
        <v>330</v>
      </c>
      <c r="I560" s="75">
        <f>0+733567.72</f>
        <v>733567.72</v>
      </c>
      <c r="J560" s="75">
        <f t="shared" si="2"/>
        <v>978090.2933333333</v>
      </c>
    </row>
    <row r="561" spans="1:10" ht="33.75">
      <c r="A561" s="3" t="s">
        <v>563</v>
      </c>
      <c r="B561" s="66">
        <v>2</v>
      </c>
      <c r="C561" s="8">
        <v>3</v>
      </c>
      <c r="D561" s="71" t="s">
        <v>358</v>
      </c>
      <c r="E561" s="3" t="s">
        <v>216</v>
      </c>
      <c r="F561" s="57" t="s">
        <v>714</v>
      </c>
      <c r="G561" s="8" t="s">
        <v>984</v>
      </c>
      <c r="H561" s="8" t="s">
        <v>423</v>
      </c>
      <c r="I561" s="67">
        <f>50000-50000</f>
        <v>0</v>
      </c>
      <c r="J561" s="67">
        <f t="shared" si="2"/>
        <v>0</v>
      </c>
    </row>
    <row r="562" spans="1:10" ht="33.75">
      <c r="A562" s="3" t="s">
        <v>563</v>
      </c>
      <c r="B562" s="66">
        <v>2</v>
      </c>
      <c r="C562" s="8">
        <v>3</v>
      </c>
      <c r="D562" s="71" t="s">
        <v>358</v>
      </c>
      <c r="E562" s="3" t="s">
        <v>216</v>
      </c>
      <c r="F562" s="57" t="s">
        <v>607</v>
      </c>
      <c r="G562" s="8" t="s">
        <v>983</v>
      </c>
      <c r="H562" s="8" t="s">
        <v>423</v>
      </c>
      <c r="I562" s="67">
        <v>300000</v>
      </c>
      <c r="J562" s="67">
        <f t="shared" si="2"/>
        <v>400000</v>
      </c>
    </row>
    <row r="563" spans="1:10" ht="33.75">
      <c r="A563" s="60" t="s">
        <v>563</v>
      </c>
      <c r="B563" s="70">
        <v>2</v>
      </c>
      <c r="C563" s="64">
        <v>3</v>
      </c>
      <c r="D563" s="72" t="s">
        <v>358</v>
      </c>
      <c r="E563" s="3" t="s">
        <v>216</v>
      </c>
      <c r="F563" s="73" t="s">
        <v>202</v>
      </c>
      <c r="G563" s="64" t="s">
        <v>983</v>
      </c>
      <c r="H563" s="64" t="s">
        <v>423</v>
      </c>
      <c r="I563" s="75">
        <v>120000</v>
      </c>
      <c r="J563" s="75">
        <f t="shared" si="2"/>
        <v>160000</v>
      </c>
    </row>
    <row r="564" spans="1:10" ht="33.75">
      <c r="A564" s="3" t="s">
        <v>563</v>
      </c>
      <c r="B564" s="66">
        <v>2</v>
      </c>
      <c r="C564" s="8">
        <v>3</v>
      </c>
      <c r="D564" s="71" t="s">
        <v>358</v>
      </c>
      <c r="E564" s="3" t="s">
        <v>216</v>
      </c>
      <c r="F564" s="57" t="s">
        <v>537</v>
      </c>
      <c r="G564" s="8" t="s">
        <v>984</v>
      </c>
      <c r="H564" s="8" t="s">
        <v>423</v>
      </c>
      <c r="I564" s="67">
        <v>75000</v>
      </c>
      <c r="J564" s="67">
        <f t="shared" si="2"/>
        <v>100000</v>
      </c>
    </row>
    <row r="565" spans="1:10" ht="33.75">
      <c r="A565" s="3" t="s">
        <v>563</v>
      </c>
      <c r="B565" s="66">
        <v>2</v>
      </c>
      <c r="C565" s="8">
        <v>3</v>
      </c>
      <c r="D565" s="71" t="s">
        <v>358</v>
      </c>
      <c r="E565" s="3" t="s">
        <v>216</v>
      </c>
      <c r="F565" s="57" t="s">
        <v>538</v>
      </c>
      <c r="G565" s="8" t="s">
        <v>984</v>
      </c>
      <c r="H565" s="8" t="s">
        <v>423</v>
      </c>
      <c r="I565" s="67">
        <f>80000+25000</f>
        <v>105000</v>
      </c>
      <c r="J565" s="67">
        <f t="shared" si="2"/>
        <v>140000</v>
      </c>
    </row>
    <row r="566" spans="1:10" ht="33.75">
      <c r="A566" s="3" t="s">
        <v>563</v>
      </c>
      <c r="B566" s="66">
        <v>2</v>
      </c>
      <c r="C566" s="8">
        <v>3</v>
      </c>
      <c r="D566" s="71" t="s">
        <v>358</v>
      </c>
      <c r="E566" s="3" t="s">
        <v>216</v>
      </c>
      <c r="F566" s="57" t="s">
        <v>608</v>
      </c>
      <c r="G566" s="8" t="s">
        <v>983</v>
      </c>
      <c r="H566" s="8" t="s">
        <v>423</v>
      </c>
      <c r="I566" s="67">
        <v>210000</v>
      </c>
      <c r="J566" s="67">
        <f t="shared" si="2"/>
        <v>280000</v>
      </c>
    </row>
    <row r="567" spans="1:10" ht="33.75">
      <c r="A567" s="3" t="s">
        <v>563</v>
      </c>
      <c r="B567" s="66">
        <v>2</v>
      </c>
      <c r="C567" s="8">
        <v>3</v>
      </c>
      <c r="D567" s="71" t="s">
        <v>358</v>
      </c>
      <c r="E567" s="3" t="s">
        <v>216</v>
      </c>
      <c r="F567" s="57" t="s">
        <v>414</v>
      </c>
      <c r="G567" s="8" t="s">
        <v>984</v>
      </c>
      <c r="H567" s="8" t="s">
        <v>423</v>
      </c>
      <c r="I567" s="67">
        <v>35000</v>
      </c>
      <c r="J567" s="67">
        <f t="shared" si="2"/>
        <v>46666.666666666664</v>
      </c>
    </row>
    <row r="568" spans="1:10" ht="33.75">
      <c r="A568" s="42" t="s">
        <v>563</v>
      </c>
      <c r="B568" s="43">
        <v>2</v>
      </c>
      <c r="C568" s="43">
        <v>3</v>
      </c>
      <c r="D568" s="62" t="s">
        <v>358</v>
      </c>
      <c r="E568" s="24" t="s">
        <v>216</v>
      </c>
      <c r="F568" s="58"/>
      <c r="G568" s="43"/>
      <c r="H568" s="43"/>
      <c r="I568" s="65">
        <f>SUBTOTAL(9,I554:I567)</f>
        <v>1884973.75</v>
      </c>
      <c r="J568" s="65">
        <f>SUBTOTAL(9,J554:J567)</f>
        <v>2513298.3333333335</v>
      </c>
    </row>
    <row r="569" spans="1:10" ht="33.75">
      <c r="A569" s="3" t="s">
        <v>563</v>
      </c>
      <c r="B569" s="66">
        <v>2</v>
      </c>
      <c r="C569" s="8">
        <v>1</v>
      </c>
      <c r="D569" s="71" t="s">
        <v>544</v>
      </c>
      <c r="E569" s="3" t="s">
        <v>545</v>
      </c>
      <c r="F569" s="59" t="s">
        <v>360</v>
      </c>
      <c r="G569" s="8" t="s">
        <v>983</v>
      </c>
      <c r="H569" s="8" t="s">
        <v>330</v>
      </c>
      <c r="I569" s="67">
        <v>478213.5</v>
      </c>
      <c r="J569" s="67">
        <f>I569/0.75</f>
        <v>637618</v>
      </c>
    </row>
    <row r="570" spans="1:10" ht="33.75">
      <c r="A570" s="3" t="s">
        <v>563</v>
      </c>
      <c r="B570" s="66">
        <v>2</v>
      </c>
      <c r="C570" s="8">
        <v>1</v>
      </c>
      <c r="D570" s="71" t="s">
        <v>544</v>
      </c>
      <c r="E570" s="3" t="s">
        <v>545</v>
      </c>
      <c r="F570" s="57" t="s">
        <v>546</v>
      </c>
      <c r="G570" s="8" t="s">
        <v>984</v>
      </c>
      <c r="H570" s="8" t="s">
        <v>423</v>
      </c>
      <c r="I570" s="67">
        <v>50000</v>
      </c>
      <c r="J570" s="67">
        <f>I570/0.75</f>
        <v>66666.66666666667</v>
      </c>
    </row>
    <row r="571" spans="1:10" ht="33.75">
      <c r="A571" s="3" t="s">
        <v>563</v>
      </c>
      <c r="B571" s="66">
        <v>2</v>
      </c>
      <c r="C571" s="8">
        <v>1</v>
      </c>
      <c r="D571" s="71" t="s">
        <v>544</v>
      </c>
      <c r="E571" s="3" t="s">
        <v>545</v>
      </c>
      <c r="F571" s="57" t="s">
        <v>635</v>
      </c>
      <c r="G571" s="8" t="s">
        <v>984</v>
      </c>
      <c r="H571" s="8" t="s">
        <v>423</v>
      </c>
      <c r="I571" s="67">
        <v>37500</v>
      </c>
      <c r="J571" s="67">
        <f>I571/0.75</f>
        <v>50000</v>
      </c>
    </row>
    <row r="572" spans="1:10" ht="33.75">
      <c r="A572" s="42" t="s">
        <v>563</v>
      </c>
      <c r="B572" s="43">
        <v>2</v>
      </c>
      <c r="C572" s="43">
        <v>1</v>
      </c>
      <c r="D572" s="62" t="s">
        <v>544</v>
      </c>
      <c r="E572" s="24" t="s">
        <v>545</v>
      </c>
      <c r="F572" s="58"/>
      <c r="G572" s="43"/>
      <c r="H572" s="43"/>
      <c r="I572" s="65">
        <f>SUBTOTAL(9,I569:I571)</f>
        <v>565713.5</v>
      </c>
      <c r="J572" s="65">
        <f>SUBTOTAL(9,J569:J571)</f>
        <v>754284.6666666666</v>
      </c>
    </row>
    <row r="573" spans="1:10" ht="22.5">
      <c r="A573" s="3" t="s">
        <v>565</v>
      </c>
      <c r="B573" s="66">
        <v>2</v>
      </c>
      <c r="C573" s="8">
        <v>2</v>
      </c>
      <c r="D573" s="71" t="s">
        <v>547</v>
      </c>
      <c r="E573" s="3" t="s">
        <v>548</v>
      </c>
      <c r="F573" s="59" t="s">
        <v>549</v>
      </c>
      <c r="G573" s="8" t="s">
        <v>983</v>
      </c>
      <c r="H573" s="8" t="s">
        <v>330</v>
      </c>
      <c r="I573" s="67">
        <v>636000</v>
      </c>
      <c r="J573" s="67">
        <f aca="true" t="shared" si="3" ref="J573:J578">I573/0.75</f>
        <v>848000</v>
      </c>
    </row>
    <row r="574" spans="1:10" ht="12.75">
      <c r="A574" s="3" t="s">
        <v>565</v>
      </c>
      <c r="B574" s="66">
        <v>2</v>
      </c>
      <c r="C574" s="8">
        <v>2</v>
      </c>
      <c r="D574" s="71" t="s">
        <v>547</v>
      </c>
      <c r="E574" s="3" t="s">
        <v>548</v>
      </c>
      <c r="F574" s="57" t="s">
        <v>550</v>
      </c>
      <c r="G574" s="8" t="s">
        <v>983</v>
      </c>
      <c r="H574" s="8" t="s">
        <v>423</v>
      </c>
      <c r="I574" s="67">
        <v>165000</v>
      </c>
      <c r="J574" s="67">
        <f t="shared" si="3"/>
        <v>220000</v>
      </c>
    </row>
    <row r="575" spans="1:10" ht="12.75">
      <c r="A575" s="3" t="s">
        <v>565</v>
      </c>
      <c r="B575" s="66">
        <v>2</v>
      </c>
      <c r="C575" s="8">
        <v>2</v>
      </c>
      <c r="D575" s="71" t="s">
        <v>547</v>
      </c>
      <c r="E575" s="3" t="s">
        <v>548</v>
      </c>
      <c r="F575" s="57" t="s">
        <v>551</v>
      </c>
      <c r="G575" s="8" t="s">
        <v>984</v>
      </c>
      <c r="H575" s="8" t="s">
        <v>423</v>
      </c>
      <c r="I575" s="67">
        <v>27000</v>
      </c>
      <c r="J575" s="67">
        <f t="shared" si="3"/>
        <v>36000</v>
      </c>
    </row>
    <row r="576" spans="1:10" ht="12.75">
      <c r="A576" s="60" t="s">
        <v>565</v>
      </c>
      <c r="B576" s="70">
        <v>2</v>
      </c>
      <c r="C576" s="64">
        <v>2</v>
      </c>
      <c r="D576" s="72" t="s">
        <v>547</v>
      </c>
      <c r="E576" s="3" t="s">
        <v>548</v>
      </c>
      <c r="F576" s="73" t="s">
        <v>552</v>
      </c>
      <c r="G576" s="64" t="s">
        <v>984</v>
      </c>
      <c r="H576" s="64" t="s">
        <v>423</v>
      </c>
      <c r="I576" s="76">
        <f>580000-374579.12+38484.05</f>
        <v>243904.93</v>
      </c>
      <c r="J576" s="75">
        <f t="shared" si="3"/>
        <v>325206.5733333333</v>
      </c>
    </row>
    <row r="577" spans="1:10" ht="12.75">
      <c r="A577" s="3" t="s">
        <v>565</v>
      </c>
      <c r="B577" s="66">
        <v>2</v>
      </c>
      <c r="C577" s="8">
        <v>2</v>
      </c>
      <c r="D577" s="71" t="s">
        <v>547</v>
      </c>
      <c r="E577" s="3" t="s">
        <v>548</v>
      </c>
      <c r="F577" s="57" t="s">
        <v>276</v>
      </c>
      <c r="G577" s="8" t="s">
        <v>984</v>
      </c>
      <c r="H577" s="8" t="s">
        <v>423</v>
      </c>
      <c r="I577" s="68">
        <f>0+374579.12</f>
        <v>374579.12</v>
      </c>
      <c r="J577" s="67">
        <f t="shared" si="3"/>
        <v>499438.82666666666</v>
      </c>
    </row>
    <row r="578" spans="1:10" ht="12.75">
      <c r="A578" s="3" t="s">
        <v>565</v>
      </c>
      <c r="B578" s="66">
        <v>2</v>
      </c>
      <c r="C578" s="8">
        <v>2</v>
      </c>
      <c r="D578" s="71" t="s">
        <v>547</v>
      </c>
      <c r="E578" s="3" t="s">
        <v>548</v>
      </c>
      <c r="F578" s="57" t="s">
        <v>553</v>
      </c>
      <c r="G578" s="8" t="s">
        <v>984</v>
      </c>
      <c r="H578" s="8" t="s">
        <v>423</v>
      </c>
      <c r="I578" s="67">
        <v>75000</v>
      </c>
      <c r="J578" s="67">
        <f t="shared" si="3"/>
        <v>100000</v>
      </c>
    </row>
    <row r="579" spans="1:10" ht="12.75">
      <c r="A579" s="42" t="s">
        <v>565</v>
      </c>
      <c r="B579" s="43">
        <v>2</v>
      </c>
      <c r="C579" s="43">
        <v>2</v>
      </c>
      <c r="D579" s="62" t="s">
        <v>547</v>
      </c>
      <c r="E579" s="24" t="s">
        <v>548</v>
      </c>
      <c r="F579" s="58"/>
      <c r="G579" s="43"/>
      <c r="H579" s="43"/>
      <c r="I579" s="65">
        <f>SUBTOTAL(9,I573:I578)</f>
        <v>1521484.0499999998</v>
      </c>
      <c r="J579" s="65">
        <f>SUBTOTAL(9,J573:J578)</f>
        <v>2028645.4</v>
      </c>
    </row>
    <row r="580" spans="1:10" ht="33.75">
      <c r="A580" s="3" t="s">
        <v>562</v>
      </c>
      <c r="B580" s="66">
        <v>2</v>
      </c>
      <c r="C580" s="8">
        <v>1</v>
      </c>
      <c r="D580" s="71" t="s">
        <v>556</v>
      </c>
      <c r="E580" s="3" t="s">
        <v>557</v>
      </c>
      <c r="F580" s="59" t="s">
        <v>646</v>
      </c>
      <c r="G580" s="8" t="s">
        <v>983</v>
      </c>
      <c r="H580" s="8" t="s">
        <v>330</v>
      </c>
      <c r="I580" s="67">
        <v>683250</v>
      </c>
      <c r="J580" s="67">
        <f>I580/0.75</f>
        <v>911000</v>
      </c>
    </row>
    <row r="581" spans="1:10" ht="33.75">
      <c r="A581" s="3" t="s">
        <v>562</v>
      </c>
      <c r="B581" s="66">
        <v>2</v>
      </c>
      <c r="C581" s="8">
        <v>1</v>
      </c>
      <c r="D581" s="71" t="s">
        <v>556</v>
      </c>
      <c r="E581" s="3" t="s">
        <v>557</v>
      </c>
      <c r="F581" s="57" t="s">
        <v>612</v>
      </c>
      <c r="G581" s="8" t="s">
        <v>984</v>
      </c>
      <c r="H581" s="8" t="s">
        <v>423</v>
      </c>
      <c r="I581" s="67">
        <v>80000</v>
      </c>
      <c r="J581" s="67">
        <f>I581/0.75</f>
        <v>106666.66666666667</v>
      </c>
    </row>
    <row r="582" spans="1:10" ht="33.75">
      <c r="A582" s="24" t="s">
        <v>562</v>
      </c>
      <c r="B582" s="6">
        <v>2</v>
      </c>
      <c r="C582" s="6">
        <v>1</v>
      </c>
      <c r="D582" s="61" t="s">
        <v>556</v>
      </c>
      <c r="E582" s="24" t="s">
        <v>557</v>
      </c>
      <c r="F582" s="63"/>
      <c r="G582" s="6"/>
      <c r="H582" s="6"/>
      <c r="I582" s="13">
        <f>SUBTOTAL(9,I580:I581)</f>
        <v>763250</v>
      </c>
      <c r="J582" s="13">
        <f>SUBTOTAL(9,J580:J581)</f>
        <v>1017666.6666666666</v>
      </c>
    </row>
    <row r="583" spans="1:10" ht="33.75">
      <c r="A583" s="60" t="s">
        <v>564</v>
      </c>
      <c r="B583" s="70">
        <v>2</v>
      </c>
      <c r="C583" s="64">
        <v>4</v>
      </c>
      <c r="D583" s="72" t="s">
        <v>280</v>
      </c>
      <c r="E583" s="3" t="s">
        <v>798</v>
      </c>
      <c r="F583" s="74" t="s">
        <v>542</v>
      </c>
      <c r="G583" s="64" t="s">
        <v>983</v>
      </c>
      <c r="H583" s="64" t="s">
        <v>330</v>
      </c>
      <c r="I583" s="75">
        <v>385500</v>
      </c>
      <c r="J583" s="75">
        <f>I583/0.75</f>
        <v>514000</v>
      </c>
    </row>
    <row r="584" spans="1:10" ht="33.75">
      <c r="A584" s="3" t="s">
        <v>564</v>
      </c>
      <c r="B584" s="66">
        <v>2</v>
      </c>
      <c r="C584" s="8">
        <v>4</v>
      </c>
      <c r="D584" s="71" t="s">
        <v>280</v>
      </c>
      <c r="E584" s="3" t="s">
        <v>798</v>
      </c>
      <c r="F584" s="57" t="s">
        <v>514</v>
      </c>
      <c r="G584" s="8" t="s">
        <v>984</v>
      </c>
      <c r="H584" s="8" t="s">
        <v>423</v>
      </c>
      <c r="I584" s="67">
        <v>70000</v>
      </c>
      <c r="J584" s="67">
        <f>I584/0.75</f>
        <v>93333.33333333333</v>
      </c>
    </row>
    <row r="585" spans="1:10" ht="33.75">
      <c r="A585" s="3" t="s">
        <v>564</v>
      </c>
      <c r="B585" s="66">
        <v>2</v>
      </c>
      <c r="C585" s="8">
        <v>4</v>
      </c>
      <c r="D585" s="71" t="s">
        <v>280</v>
      </c>
      <c r="E585" s="3" t="s">
        <v>798</v>
      </c>
      <c r="F585" s="57" t="s">
        <v>714</v>
      </c>
      <c r="G585" s="8" t="s">
        <v>984</v>
      </c>
      <c r="H585" s="8" t="s">
        <v>423</v>
      </c>
      <c r="I585" s="67">
        <v>160000</v>
      </c>
      <c r="J585" s="67">
        <f>I585/0.75</f>
        <v>213333.33333333334</v>
      </c>
    </row>
    <row r="586" spans="1:10" ht="33.75">
      <c r="A586" s="24" t="s">
        <v>564</v>
      </c>
      <c r="B586" s="6">
        <v>2</v>
      </c>
      <c r="C586" s="6">
        <v>4</v>
      </c>
      <c r="D586" s="61" t="s">
        <v>280</v>
      </c>
      <c r="E586" s="24" t="s">
        <v>798</v>
      </c>
      <c r="F586" s="63"/>
      <c r="G586" s="6"/>
      <c r="H586" s="6"/>
      <c r="I586" s="13">
        <f>SUBTOTAL(9,I583:I585)</f>
        <v>615500</v>
      </c>
      <c r="J586" s="13">
        <f>SUBTOTAL(9,J583:J585)</f>
        <v>820666.6666666667</v>
      </c>
    </row>
    <row r="587" spans="1:10" ht="33.75">
      <c r="A587" s="3" t="s">
        <v>561</v>
      </c>
      <c r="B587" s="66">
        <v>2</v>
      </c>
      <c r="C587" s="8">
        <v>2</v>
      </c>
      <c r="D587" s="71" t="s">
        <v>592</v>
      </c>
      <c r="E587" s="3" t="s">
        <v>739</v>
      </c>
      <c r="F587" s="57" t="s">
        <v>410</v>
      </c>
      <c r="G587" s="8" t="s">
        <v>984</v>
      </c>
      <c r="H587" s="8" t="s">
        <v>423</v>
      </c>
      <c r="I587" s="68">
        <f>95889+5100</f>
        <v>100989</v>
      </c>
      <c r="J587" s="67">
        <f>I587/0.75</f>
        <v>134652</v>
      </c>
    </row>
    <row r="588" spans="1:10" ht="33.75">
      <c r="A588" s="60" t="s">
        <v>561</v>
      </c>
      <c r="B588" s="70">
        <v>2</v>
      </c>
      <c r="C588" s="64">
        <v>2</v>
      </c>
      <c r="D588" s="72" t="s">
        <v>592</v>
      </c>
      <c r="E588" s="3" t="s">
        <v>739</v>
      </c>
      <c r="F588" s="74" t="s">
        <v>593</v>
      </c>
      <c r="G588" s="64" t="s">
        <v>983</v>
      </c>
      <c r="H588" s="64" t="s">
        <v>330</v>
      </c>
      <c r="I588" s="76">
        <v>0</v>
      </c>
      <c r="J588" s="75">
        <f>I588/0.75</f>
        <v>0</v>
      </c>
    </row>
    <row r="589" spans="1:10" ht="33.75">
      <c r="A589" s="3" t="s">
        <v>561</v>
      </c>
      <c r="B589" s="66">
        <v>2</v>
      </c>
      <c r="C589" s="8">
        <v>2</v>
      </c>
      <c r="D589" s="71" t="s">
        <v>592</v>
      </c>
      <c r="E589" s="3" t="s">
        <v>739</v>
      </c>
      <c r="F589" s="57" t="s">
        <v>594</v>
      </c>
      <c r="G589" s="8" t="s">
        <v>984</v>
      </c>
      <c r="H589" s="8" t="s">
        <v>423</v>
      </c>
      <c r="I589" s="68">
        <f>183450-42508.78</f>
        <v>140941.22</v>
      </c>
      <c r="J589" s="67">
        <f>I589/0.75</f>
        <v>187921.62666666668</v>
      </c>
    </row>
    <row r="590" spans="1:10" ht="33.75">
      <c r="A590" s="3" t="s">
        <v>561</v>
      </c>
      <c r="B590" s="66">
        <v>2</v>
      </c>
      <c r="C590" s="8">
        <v>2</v>
      </c>
      <c r="D590" s="71" t="s">
        <v>592</v>
      </c>
      <c r="E590" s="3" t="s">
        <v>739</v>
      </c>
      <c r="F590" s="59" t="s">
        <v>858</v>
      </c>
      <c r="G590" s="8" t="s">
        <v>983</v>
      </c>
      <c r="H590" s="8" t="s">
        <v>423</v>
      </c>
      <c r="I590" s="68">
        <f>134471.25+7500</f>
        <v>141971.25</v>
      </c>
      <c r="J590" s="67">
        <f>I590/0.75</f>
        <v>189295</v>
      </c>
    </row>
    <row r="591" spans="1:10" ht="33.75">
      <c r="A591" s="24" t="s">
        <v>561</v>
      </c>
      <c r="B591" s="6">
        <v>2</v>
      </c>
      <c r="C591" s="6">
        <v>2</v>
      </c>
      <c r="D591" s="61" t="s">
        <v>592</v>
      </c>
      <c r="E591" s="24" t="s">
        <v>739</v>
      </c>
      <c r="F591" s="63"/>
      <c r="G591" s="6"/>
      <c r="H591" s="6"/>
      <c r="I591" s="13">
        <f>SUBTOTAL(9,I587:I590)</f>
        <v>383901.47</v>
      </c>
      <c r="J591" s="13">
        <f>SUBTOTAL(9,J587:J590)</f>
        <v>511868.6266666667</v>
      </c>
    </row>
    <row r="592" spans="1:10" ht="45">
      <c r="A592" s="3" t="s">
        <v>562</v>
      </c>
      <c r="B592" s="66">
        <v>2</v>
      </c>
      <c r="C592" s="8">
        <v>4</v>
      </c>
      <c r="D592" s="71" t="s">
        <v>668</v>
      </c>
      <c r="E592" s="3" t="s">
        <v>718</v>
      </c>
      <c r="F592" s="59" t="s">
        <v>515</v>
      </c>
      <c r="G592" s="8" t="s">
        <v>983</v>
      </c>
      <c r="H592" s="8" t="s">
        <v>330</v>
      </c>
      <c r="I592" s="67">
        <v>416512.5</v>
      </c>
      <c r="J592" s="67">
        <f>I592/0.75</f>
        <v>555350</v>
      </c>
    </row>
    <row r="593" spans="1:10" ht="45">
      <c r="A593" s="3" t="s">
        <v>562</v>
      </c>
      <c r="B593" s="66">
        <v>2</v>
      </c>
      <c r="C593" s="8">
        <v>4</v>
      </c>
      <c r="D593" s="71" t="s">
        <v>668</v>
      </c>
      <c r="E593" s="3" t="s">
        <v>718</v>
      </c>
      <c r="F593" s="57" t="s">
        <v>713</v>
      </c>
      <c r="G593" s="8" t="s">
        <v>984</v>
      </c>
      <c r="H593" s="8" t="s">
        <v>423</v>
      </c>
      <c r="I593" s="67">
        <v>150000</v>
      </c>
      <c r="J593" s="67">
        <f>I593/0.75</f>
        <v>200000</v>
      </c>
    </row>
    <row r="594" spans="1:10" ht="45">
      <c r="A594" s="24" t="s">
        <v>562</v>
      </c>
      <c r="B594" s="6">
        <v>2</v>
      </c>
      <c r="C594" s="6">
        <v>4</v>
      </c>
      <c r="D594" s="61" t="s">
        <v>668</v>
      </c>
      <c r="E594" s="24" t="s">
        <v>718</v>
      </c>
      <c r="F594" s="63"/>
      <c r="G594" s="6"/>
      <c r="H594" s="6"/>
      <c r="I594" s="13">
        <f>SUBTOTAL(9,I592:I593)</f>
        <v>566512.5</v>
      </c>
      <c r="J594" s="13">
        <f>SUBTOTAL(9,J592:J593)</f>
        <v>755350</v>
      </c>
    </row>
    <row r="595" spans="1:10" ht="33.75">
      <c r="A595" s="3" t="s">
        <v>562</v>
      </c>
      <c r="B595" s="66">
        <v>2</v>
      </c>
      <c r="C595" s="8">
        <v>3</v>
      </c>
      <c r="D595" s="71" t="s">
        <v>669</v>
      </c>
      <c r="E595" s="3" t="s">
        <v>610</v>
      </c>
      <c r="F595" s="59" t="s">
        <v>670</v>
      </c>
      <c r="G595" s="8" t="s">
        <v>983</v>
      </c>
      <c r="H595" s="8" t="s">
        <v>330</v>
      </c>
      <c r="I595" s="67">
        <v>502500</v>
      </c>
      <c r="J595" s="67">
        <f>I595/0.75</f>
        <v>670000</v>
      </c>
    </row>
    <row r="596" spans="1:10" ht="33.75">
      <c r="A596" s="3" t="s">
        <v>562</v>
      </c>
      <c r="B596" s="66">
        <v>2</v>
      </c>
      <c r="C596" s="8">
        <v>3</v>
      </c>
      <c r="D596" s="71" t="s">
        <v>669</v>
      </c>
      <c r="E596" s="3" t="s">
        <v>610</v>
      </c>
      <c r="F596" s="57" t="s">
        <v>671</v>
      </c>
      <c r="G596" s="8" t="s">
        <v>984</v>
      </c>
      <c r="H596" s="8" t="s">
        <v>423</v>
      </c>
      <c r="I596" s="67">
        <v>121050</v>
      </c>
      <c r="J596" s="67">
        <f>I596/0.75</f>
        <v>161400</v>
      </c>
    </row>
    <row r="597" spans="1:10" ht="33.75">
      <c r="A597" s="60" t="s">
        <v>562</v>
      </c>
      <c r="B597" s="70">
        <v>2</v>
      </c>
      <c r="C597" s="64">
        <v>3</v>
      </c>
      <c r="D597" s="72" t="s">
        <v>669</v>
      </c>
      <c r="E597" s="3" t="s">
        <v>610</v>
      </c>
      <c r="F597" s="73" t="s">
        <v>672</v>
      </c>
      <c r="G597" s="64" t="s">
        <v>984</v>
      </c>
      <c r="H597" s="64" t="s">
        <v>423</v>
      </c>
      <c r="I597" s="75">
        <v>100000</v>
      </c>
      <c r="J597" s="75">
        <f>I597/0.75</f>
        <v>133333.33333333334</v>
      </c>
    </row>
    <row r="598" spans="1:10" ht="33.75">
      <c r="A598" s="3" t="s">
        <v>562</v>
      </c>
      <c r="B598" s="66">
        <v>2</v>
      </c>
      <c r="C598" s="8">
        <v>3</v>
      </c>
      <c r="D598" s="71" t="s">
        <v>669</v>
      </c>
      <c r="E598" s="3" t="s">
        <v>610</v>
      </c>
      <c r="F598" s="57" t="s">
        <v>611</v>
      </c>
      <c r="G598" s="8" t="s">
        <v>983</v>
      </c>
      <c r="H598" s="8" t="s">
        <v>423</v>
      </c>
      <c r="I598" s="67">
        <v>210000</v>
      </c>
      <c r="J598" s="67">
        <f>I598/0.75</f>
        <v>280000</v>
      </c>
    </row>
    <row r="599" spans="1:10" ht="33.75">
      <c r="A599" s="3" t="s">
        <v>562</v>
      </c>
      <c r="B599" s="66">
        <v>2</v>
      </c>
      <c r="C599" s="8">
        <v>3</v>
      </c>
      <c r="D599" s="71" t="s">
        <v>669</v>
      </c>
      <c r="E599" s="3" t="s">
        <v>610</v>
      </c>
      <c r="F599" s="57" t="s">
        <v>673</v>
      </c>
      <c r="G599" s="8" t="s">
        <v>984</v>
      </c>
      <c r="H599" s="8" t="s">
        <v>423</v>
      </c>
      <c r="I599" s="67">
        <v>114150</v>
      </c>
      <c r="J599" s="67">
        <f>I599/0.75</f>
        <v>152200</v>
      </c>
    </row>
    <row r="600" spans="1:10" ht="33.75">
      <c r="A600" s="24" t="s">
        <v>562</v>
      </c>
      <c r="B600" s="6">
        <v>2</v>
      </c>
      <c r="C600" s="6">
        <v>3</v>
      </c>
      <c r="D600" s="61" t="s">
        <v>669</v>
      </c>
      <c r="E600" s="24" t="s">
        <v>610</v>
      </c>
      <c r="F600" s="63"/>
      <c r="G600" s="6"/>
      <c r="H600" s="6"/>
      <c r="I600" s="13">
        <f>SUBTOTAL(9,I595:I599)</f>
        <v>1047700</v>
      </c>
      <c r="J600" s="13">
        <f>SUBTOTAL(9,J595:J599)</f>
        <v>1396933.3333333335</v>
      </c>
    </row>
    <row r="601" spans="1:10" ht="33.75">
      <c r="A601" s="3" t="s">
        <v>561</v>
      </c>
      <c r="B601" s="66">
        <v>2</v>
      </c>
      <c r="C601" s="8">
        <v>4</v>
      </c>
      <c r="D601" s="71" t="s">
        <v>601</v>
      </c>
      <c r="E601" s="3" t="s">
        <v>224</v>
      </c>
      <c r="F601" s="59" t="s">
        <v>515</v>
      </c>
      <c r="G601" s="8" t="s">
        <v>983</v>
      </c>
      <c r="H601" s="8" t="s">
        <v>330</v>
      </c>
      <c r="I601" s="67">
        <v>416512.5</v>
      </c>
      <c r="J601" s="67">
        <f>I601/0.75</f>
        <v>555350</v>
      </c>
    </row>
    <row r="602" spans="1:10" ht="33.75">
      <c r="A602" s="60" t="s">
        <v>561</v>
      </c>
      <c r="B602" s="70">
        <v>2</v>
      </c>
      <c r="C602" s="64">
        <v>4</v>
      </c>
      <c r="D602" s="72" t="s">
        <v>601</v>
      </c>
      <c r="E602" s="3" t="s">
        <v>224</v>
      </c>
      <c r="F602" s="73" t="s">
        <v>533</v>
      </c>
      <c r="G602" s="64" t="s">
        <v>984</v>
      </c>
      <c r="H602" s="64" t="s">
        <v>423</v>
      </c>
      <c r="I602" s="75">
        <v>91875</v>
      </c>
      <c r="J602" s="75">
        <f>I602/0.75</f>
        <v>122500</v>
      </c>
    </row>
    <row r="603" spans="1:10" ht="33.75">
      <c r="A603" s="24" t="s">
        <v>561</v>
      </c>
      <c r="B603" s="6">
        <v>2</v>
      </c>
      <c r="C603" s="6">
        <v>4</v>
      </c>
      <c r="D603" s="61" t="s">
        <v>601</v>
      </c>
      <c r="E603" s="24" t="s">
        <v>224</v>
      </c>
      <c r="F603" s="63"/>
      <c r="G603" s="6"/>
      <c r="H603" s="6"/>
      <c r="I603" s="13">
        <f>SUBTOTAL(9,I601:I602)</f>
        <v>508387.5</v>
      </c>
      <c r="J603" s="13">
        <f>SUBTOTAL(9,J601:J602)</f>
        <v>677850</v>
      </c>
    </row>
    <row r="604" spans="1:10" ht="12.75">
      <c r="A604" s="3" t="s">
        <v>565</v>
      </c>
      <c r="B604" s="66">
        <v>2</v>
      </c>
      <c r="C604" s="8">
        <v>1</v>
      </c>
      <c r="D604" s="71" t="s">
        <v>602</v>
      </c>
      <c r="E604" s="3" t="s">
        <v>603</v>
      </c>
      <c r="F604" s="57" t="s">
        <v>392</v>
      </c>
      <c r="G604" s="8" t="s">
        <v>984</v>
      </c>
      <c r="H604" s="8" t="s">
        <v>423</v>
      </c>
      <c r="I604" s="67">
        <v>801000</v>
      </c>
      <c r="J604" s="67">
        <f>I604/0.75</f>
        <v>1068000</v>
      </c>
    </row>
    <row r="605" spans="1:10" ht="12.75">
      <c r="A605" s="3" t="s">
        <v>565</v>
      </c>
      <c r="B605" s="66">
        <v>2</v>
      </c>
      <c r="C605" s="8">
        <v>1</v>
      </c>
      <c r="D605" s="71" t="s">
        <v>602</v>
      </c>
      <c r="E605" s="3" t="s">
        <v>603</v>
      </c>
      <c r="F605" s="59" t="s">
        <v>256</v>
      </c>
      <c r="G605" s="8" t="s">
        <v>983</v>
      </c>
      <c r="H605" s="8" t="s">
        <v>330</v>
      </c>
      <c r="I605" s="67">
        <v>800000</v>
      </c>
      <c r="J605" s="67">
        <f>I605/0.75</f>
        <v>1066666.6666666667</v>
      </c>
    </row>
    <row r="606" spans="1:10" ht="12.75">
      <c r="A606" s="24" t="s">
        <v>565</v>
      </c>
      <c r="B606" s="6">
        <v>2</v>
      </c>
      <c r="C606" s="6">
        <v>1</v>
      </c>
      <c r="D606" s="61" t="s">
        <v>602</v>
      </c>
      <c r="E606" s="24" t="s">
        <v>603</v>
      </c>
      <c r="F606" s="63"/>
      <c r="G606" s="6"/>
      <c r="H606" s="6"/>
      <c r="I606" s="13">
        <f>SUBTOTAL(9,I604:I605)</f>
        <v>1601000</v>
      </c>
      <c r="J606" s="13">
        <f>SUBTOTAL(9,J604:J605)</f>
        <v>2134666.666666667</v>
      </c>
    </row>
    <row r="607" spans="1:10" ht="22.5">
      <c r="A607" s="3" t="s">
        <v>565</v>
      </c>
      <c r="B607" s="66">
        <v>2</v>
      </c>
      <c r="C607" s="8">
        <v>4</v>
      </c>
      <c r="D607" s="71" t="s">
        <v>261</v>
      </c>
      <c r="E607" s="3" t="s">
        <v>262</v>
      </c>
      <c r="F607" s="57" t="s">
        <v>850</v>
      </c>
      <c r="G607" s="8" t="s">
        <v>983</v>
      </c>
      <c r="H607" s="8" t="s">
        <v>423</v>
      </c>
      <c r="I607" s="68">
        <f>117180-26250</f>
        <v>90930</v>
      </c>
      <c r="J607" s="67">
        <f>I607/0.75</f>
        <v>121240</v>
      </c>
    </row>
    <row r="608" spans="1:10" ht="22.5">
      <c r="A608" s="3" t="s">
        <v>565</v>
      </c>
      <c r="B608" s="66">
        <v>2</v>
      </c>
      <c r="C608" s="8">
        <v>4</v>
      </c>
      <c r="D608" s="71" t="s">
        <v>261</v>
      </c>
      <c r="E608" s="3" t="s">
        <v>262</v>
      </c>
      <c r="F608" s="57" t="s">
        <v>263</v>
      </c>
      <c r="G608" s="8" t="s">
        <v>984</v>
      </c>
      <c r="H608" s="8" t="s">
        <v>423</v>
      </c>
      <c r="I608" s="68">
        <v>105140.16</v>
      </c>
      <c r="J608" s="67">
        <f>I608/0.75</f>
        <v>140186.88</v>
      </c>
    </row>
    <row r="609" spans="1:10" ht="22.5">
      <c r="A609" s="3" t="s">
        <v>565</v>
      </c>
      <c r="B609" s="66">
        <v>2</v>
      </c>
      <c r="C609" s="8">
        <v>4</v>
      </c>
      <c r="D609" s="71" t="s">
        <v>261</v>
      </c>
      <c r="E609" s="3" t="s">
        <v>262</v>
      </c>
      <c r="F609" s="57" t="s">
        <v>260</v>
      </c>
      <c r="G609" s="8" t="s">
        <v>983</v>
      </c>
      <c r="H609" s="8" t="s">
        <v>423</v>
      </c>
      <c r="I609" s="68">
        <f>169548.64+26250</f>
        <v>195798.64</v>
      </c>
      <c r="J609" s="67">
        <f>I609/0.75</f>
        <v>261064.85333333336</v>
      </c>
    </row>
    <row r="610" spans="1:10" ht="22.5">
      <c r="A610" s="3" t="s">
        <v>565</v>
      </c>
      <c r="B610" s="66">
        <v>2</v>
      </c>
      <c r="C610" s="8">
        <v>4</v>
      </c>
      <c r="D610" s="71" t="s">
        <v>261</v>
      </c>
      <c r="E610" s="3" t="s">
        <v>262</v>
      </c>
      <c r="F610" s="59" t="s">
        <v>264</v>
      </c>
      <c r="G610" s="8" t="s">
        <v>983</v>
      </c>
      <c r="H610" s="8" t="s">
        <v>330</v>
      </c>
      <c r="I610" s="67">
        <v>152291.37</v>
      </c>
      <c r="J610" s="67">
        <f>I610/0.75</f>
        <v>203055.16</v>
      </c>
    </row>
    <row r="611" spans="1:10" ht="22.5">
      <c r="A611" s="60" t="s">
        <v>565</v>
      </c>
      <c r="B611" s="70">
        <v>2</v>
      </c>
      <c r="C611" s="64">
        <v>4</v>
      </c>
      <c r="D611" s="72" t="s">
        <v>261</v>
      </c>
      <c r="E611" s="3" t="s">
        <v>262</v>
      </c>
      <c r="F611" s="73" t="s">
        <v>858</v>
      </c>
      <c r="G611" s="64" t="s">
        <v>983</v>
      </c>
      <c r="H611" s="64" t="s">
        <v>423</v>
      </c>
      <c r="I611" s="75">
        <v>33473.2</v>
      </c>
      <c r="J611" s="75">
        <f>I611/0.75</f>
        <v>44630.93333333333</v>
      </c>
    </row>
    <row r="612" spans="1:10" ht="12.75">
      <c r="A612" s="24" t="s">
        <v>565</v>
      </c>
      <c r="B612" s="6">
        <v>2</v>
      </c>
      <c r="C612" s="6">
        <v>4</v>
      </c>
      <c r="D612" s="61" t="s">
        <v>261</v>
      </c>
      <c r="E612" s="24"/>
      <c r="F612" s="63"/>
      <c r="G612" s="6"/>
      <c r="H612" s="6"/>
      <c r="I612" s="13">
        <f>SUBTOTAL(9,I607:I611)</f>
        <v>577633.37</v>
      </c>
      <c r="J612" s="13">
        <f>SUBTOTAL(9,J607:J611)</f>
        <v>770177.8266666668</v>
      </c>
    </row>
    <row r="613" spans="1:10" ht="22.5">
      <c r="A613" s="3" t="s">
        <v>807</v>
      </c>
      <c r="B613" s="66">
        <v>2</v>
      </c>
      <c r="C613" s="8">
        <v>1</v>
      </c>
      <c r="D613" s="71" t="s">
        <v>265</v>
      </c>
      <c r="E613" s="3" t="s">
        <v>532</v>
      </c>
      <c r="F613" s="57" t="s">
        <v>884</v>
      </c>
      <c r="G613" s="8" t="s">
        <v>983</v>
      </c>
      <c r="H613" s="8" t="s">
        <v>423</v>
      </c>
      <c r="I613" s="67">
        <v>230559.65</v>
      </c>
      <c r="J613" s="67">
        <f>I613/0.75</f>
        <v>307412.86666666664</v>
      </c>
    </row>
    <row r="614" spans="1:10" ht="22.5">
      <c r="A614" s="3" t="s">
        <v>807</v>
      </c>
      <c r="B614" s="66">
        <v>2</v>
      </c>
      <c r="C614" s="8">
        <v>1</v>
      </c>
      <c r="D614" s="3" t="s">
        <v>265</v>
      </c>
      <c r="E614" s="3" t="s">
        <v>532</v>
      </c>
      <c r="F614" s="4" t="s">
        <v>266</v>
      </c>
      <c r="G614" s="8" t="s">
        <v>983</v>
      </c>
      <c r="H614" s="8" t="s">
        <v>330</v>
      </c>
      <c r="I614" s="67">
        <v>228598.5</v>
      </c>
      <c r="J614" s="67">
        <f>I614/0.75</f>
        <v>304798</v>
      </c>
    </row>
    <row r="615" spans="1:10" ht="22.5">
      <c r="A615" s="3" t="s">
        <v>807</v>
      </c>
      <c r="B615" s="66">
        <v>2</v>
      </c>
      <c r="C615" s="8">
        <v>1</v>
      </c>
      <c r="D615" s="3" t="s">
        <v>265</v>
      </c>
      <c r="E615" s="3" t="s">
        <v>532</v>
      </c>
      <c r="F615" s="3" t="s">
        <v>533</v>
      </c>
      <c r="G615" s="8" t="s">
        <v>984</v>
      </c>
      <c r="H615" s="8" t="s">
        <v>423</v>
      </c>
      <c r="I615" s="67">
        <v>52379.69</v>
      </c>
      <c r="J615" s="67">
        <f>I615/0.75</f>
        <v>69839.58666666667</v>
      </c>
    </row>
    <row r="616" spans="1:10" ht="22.5">
      <c r="A616" s="3" t="s">
        <v>807</v>
      </c>
      <c r="B616" s="66">
        <v>2</v>
      </c>
      <c r="C616" s="8">
        <v>1</v>
      </c>
      <c r="D616" s="3" t="s">
        <v>265</v>
      </c>
      <c r="E616" s="3" t="s">
        <v>532</v>
      </c>
      <c r="F616" s="3" t="s">
        <v>260</v>
      </c>
      <c r="G616" s="8" t="s">
        <v>983</v>
      </c>
      <c r="H616" s="8" t="s">
        <v>423</v>
      </c>
      <c r="I616" s="67">
        <v>227901.04</v>
      </c>
      <c r="J616" s="67">
        <f>I616/0.75</f>
        <v>303868.05333333334</v>
      </c>
    </row>
    <row r="617" spans="1:10" ht="22.5">
      <c r="A617" s="3" t="s">
        <v>807</v>
      </c>
      <c r="B617" s="66">
        <v>2</v>
      </c>
      <c r="C617" s="8">
        <v>1</v>
      </c>
      <c r="D617" s="3" t="s">
        <v>265</v>
      </c>
      <c r="E617" s="3" t="s">
        <v>532</v>
      </c>
      <c r="F617" s="3" t="s">
        <v>534</v>
      </c>
      <c r="G617" s="8" t="s">
        <v>984</v>
      </c>
      <c r="H617" s="8" t="s">
        <v>423</v>
      </c>
      <c r="I617" s="67">
        <v>119480.15</v>
      </c>
      <c r="J617" s="67">
        <f>I617/0.75</f>
        <v>159306.86666666667</v>
      </c>
    </row>
    <row r="618" spans="1:10" ht="22.5">
      <c r="A618" s="24" t="s">
        <v>807</v>
      </c>
      <c r="B618" s="6">
        <v>2</v>
      </c>
      <c r="C618" s="6">
        <v>1</v>
      </c>
      <c r="D618" s="7" t="s">
        <v>265</v>
      </c>
      <c r="E618" s="24" t="s">
        <v>532</v>
      </c>
      <c r="F618" s="24"/>
      <c r="G618" s="6"/>
      <c r="H618" s="6"/>
      <c r="I618" s="13">
        <f>SUBTOTAL(9,I613:I617)</f>
        <v>858919.03</v>
      </c>
      <c r="J618" s="13">
        <f>SUBTOTAL(9,J613:J617)</f>
        <v>1145225.3733333333</v>
      </c>
    </row>
    <row r="619" spans="1:10" ht="33.75">
      <c r="A619" s="3" t="s">
        <v>807</v>
      </c>
      <c r="B619" s="66">
        <v>2</v>
      </c>
      <c r="C619" s="8">
        <v>1</v>
      </c>
      <c r="D619" s="3" t="s">
        <v>270</v>
      </c>
      <c r="E619" s="3" t="s">
        <v>388</v>
      </c>
      <c r="F619" s="3" t="s">
        <v>271</v>
      </c>
      <c r="G619" s="8" t="s">
        <v>983</v>
      </c>
      <c r="H619" s="8" t="s">
        <v>423</v>
      </c>
      <c r="I619" s="67">
        <v>117798.81</v>
      </c>
      <c r="J619" s="67">
        <f aca="true" t="shared" si="4" ref="J619:J624">I619/0.75</f>
        <v>157065.08</v>
      </c>
    </row>
    <row r="620" spans="1:10" ht="33.75">
      <c r="A620" s="3" t="s">
        <v>807</v>
      </c>
      <c r="B620" s="66">
        <v>2</v>
      </c>
      <c r="C620" s="8">
        <v>1</v>
      </c>
      <c r="D620" s="3" t="s">
        <v>270</v>
      </c>
      <c r="E620" s="3" t="s">
        <v>388</v>
      </c>
      <c r="F620" s="3" t="s">
        <v>259</v>
      </c>
      <c r="G620" s="8" t="s">
        <v>983</v>
      </c>
      <c r="H620" s="8" t="s">
        <v>423</v>
      </c>
      <c r="I620" s="67">
        <v>84122.31</v>
      </c>
      <c r="J620" s="67">
        <f t="shared" si="4"/>
        <v>112163.08</v>
      </c>
    </row>
    <row r="621" spans="1:10" ht="33.75">
      <c r="A621" s="3" t="s">
        <v>807</v>
      </c>
      <c r="B621" s="66">
        <v>2</v>
      </c>
      <c r="C621" s="8">
        <v>1</v>
      </c>
      <c r="D621" s="3" t="s">
        <v>270</v>
      </c>
      <c r="E621" s="3" t="s">
        <v>388</v>
      </c>
      <c r="F621" s="3" t="s">
        <v>272</v>
      </c>
      <c r="G621" s="8" t="s">
        <v>983</v>
      </c>
      <c r="H621" s="8" t="s">
        <v>423</v>
      </c>
      <c r="I621" s="67">
        <v>228823.28</v>
      </c>
      <c r="J621" s="67">
        <f t="shared" si="4"/>
        <v>305097.70666666667</v>
      </c>
    </row>
    <row r="622" spans="1:10" ht="33.75">
      <c r="A622" s="3" t="s">
        <v>807</v>
      </c>
      <c r="B622" s="66">
        <v>2</v>
      </c>
      <c r="C622" s="8">
        <v>1</v>
      </c>
      <c r="D622" s="3" t="s">
        <v>270</v>
      </c>
      <c r="E622" s="3" t="s">
        <v>388</v>
      </c>
      <c r="F622" s="3" t="s">
        <v>273</v>
      </c>
      <c r="G622" s="8" t="s">
        <v>984</v>
      </c>
      <c r="H622" s="8" t="s">
        <v>423</v>
      </c>
      <c r="I622" s="67">
        <v>127500</v>
      </c>
      <c r="J622" s="67">
        <f t="shared" si="4"/>
        <v>170000</v>
      </c>
    </row>
    <row r="623" spans="1:10" ht="33.75">
      <c r="A623" s="3" t="s">
        <v>807</v>
      </c>
      <c r="B623" s="66">
        <v>2</v>
      </c>
      <c r="C623" s="8">
        <v>1</v>
      </c>
      <c r="D623" s="3" t="s">
        <v>270</v>
      </c>
      <c r="E623" s="3" t="s">
        <v>388</v>
      </c>
      <c r="F623" s="4" t="s">
        <v>260</v>
      </c>
      <c r="G623" s="8" t="s">
        <v>983</v>
      </c>
      <c r="H623" s="8" t="s">
        <v>330</v>
      </c>
      <c r="I623" s="67">
        <v>379383.37</v>
      </c>
      <c r="J623" s="67">
        <f t="shared" si="4"/>
        <v>505844.49333333335</v>
      </c>
    </row>
    <row r="624" spans="1:10" ht="33.75">
      <c r="A624" s="3" t="s">
        <v>807</v>
      </c>
      <c r="B624" s="66">
        <v>2</v>
      </c>
      <c r="C624" s="8">
        <v>1</v>
      </c>
      <c r="D624" s="3" t="s">
        <v>270</v>
      </c>
      <c r="E624" s="3" t="s">
        <v>388</v>
      </c>
      <c r="F624" s="3" t="s">
        <v>534</v>
      </c>
      <c r="G624" s="8" t="s">
        <v>984</v>
      </c>
      <c r="H624" s="8" t="s">
        <v>423</v>
      </c>
      <c r="I624" s="67">
        <v>100000</v>
      </c>
      <c r="J624" s="67">
        <f t="shared" si="4"/>
        <v>133333.33333333334</v>
      </c>
    </row>
    <row r="625" spans="1:10" ht="33.75">
      <c r="A625" s="24" t="s">
        <v>807</v>
      </c>
      <c r="B625" s="6">
        <v>2</v>
      </c>
      <c r="C625" s="6">
        <v>1</v>
      </c>
      <c r="D625" s="7" t="s">
        <v>270</v>
      </c>
      <c r="E625" s="24" t="s">
        <v>388</v>
      </c>
      <c r="F625" s="24"/>
      <c r="G625" s="6"/>
      <c r="H625" s="6"/>
      <c r="I625" s="13">
        <f>SUBTOTAL(9,I619:I624)</f>
        <v>1037627.77</v>
      </c>
      <c r="J625" s="13">
        <f>SUBTOTAL(9,J619:J624)</f>
        <v>1383503.6933333334</v>
      </c>
    </row>
    <row r="626" spans="1:10" ht="33.75">
      <c r="A626" s="3" t="s">
        <v>564</v>
      </c>
      <c r="B626" s="66">
        <v>2</v>
      </c>
      <c r="C626" s="8">
        <v>4</v>
      </c>
      <c r="D626" s="3" t="s">
        <v>540</v>
      </c>
      <c r="E626" s="3" t="s">
        <v>637</v>
      </c>
      <c r="F626" s="4" t="s">
        <v>554</v>
      </c>
      <c r="G626" s="8" t="s">
        <v>983</v>
      </c>
      <c r="H626" s="8" t="s">
        <v>330</v>
      </c>
      <c r="I626" s="67">
        <v>15000</v>
      </c>
      <c r="J626" s="67">
        <f>I626/0.75</f>
        <v>20000</v>
      </c>
    </row>
    <row r="627" spans="1:10" ht="33.75">
      <c r="A627" s="3" t="s">
        <v>564</v>
      </c>
      <c r="B627" s="66">
        <v>2</v>
      </c>
      <c r="C627" s="8">
        <v>4</v>
      </c>
      <c r="D627" s="3" t="s">
        <v>540</v>
      </c>
      <c r="E627" s="3" t="s">
        <v>637</v>
      </c>
      <c r="F627" s="3" t="s">
        <v>511</v>
      </c>
      <c r="G627" s="8" t="s">
        <v>983</v>
      </c>
      <c r="H627" s="8" t="s">
        <v>423</v>
      </c>
      <c r="I627" s="67">
        <v>67500</v>
      </c>
      <c r="J627" s="67">
        <f>I627/0.75</f>
        <v>90000</v>
      </c>
    </row>
    <row r="628" spans="1:10" ht="33.75">
      <c r="A628" s="3" t="s">
        <v>564</v>
      </c>
      <c r="B628" s="66">
        <v>2</v>
      </c>
      <c r="C628" s="8">
        <v>4</v>
      </c>
      <c r="D628" s="3" t="s">
        <v>540</v>
      </c>
      <c r="E628" s="3" t="s">
        <v>637</v>
      </c>
      <c r="F628" s="3" t="s">
        <v>512</v>
      </c>
      <c r="G628" s="8" t="s">
        <v>983</v>
      </c>
      <c r="H628" s="8" t="s">
        <v>423</v>
      </c>
      <c r="I628" s="67">
        <v>67500</v>
      </c>
      <c r="J628" s="67">
        <f>I628/0.75</f>
        <v>90000</v>
      </c>
    </row>
    <row r="629" spans="1:10" ht="33.75">
      <c r="A629" s="3" t="s">
        <v>564</v>
      </c>
      <c r="B629" s="66">
        <v>2</v>
      </c>
      <c r="C629" s="8">
        <v>4</v>
      </c>
      <c r="D629" s="3" t="s">
        <v>540</v>
      </c>
      <c r="E629" s="3" t="s">
        <v>637</v>
      </c>
      <c r="F629" s="3" t="s">
        <v>541</v>
      </c>
      <c r="G629" s="8" t="s">
        <v>984</v>
      </c>
      <c r="H629" s="8" t="s">
        <v>423</v>
      </c>
      <c r="I629" s="67">
        <v>15000</v>
      </c>
      <c r="J629" s="67">
        <f>I629/0.75</f>
        <v>20000</v>
      </c>
    </row>
    <row r="630" spans="1:10" ht="33.75">
      <c r="A630" s="24" t="s">
        <v>564</v>
      </c>
      <c r="B630" s="6">
        <v>2</v>
      </c>
      <c r="C630" s="6">
        <v>4</v>
      </c>
      <c r="D630" s="7" t="s">
        <v>540</v>
      </c>
      <c r="E630" s="24" t="s">
        <v>637</v>
      </c>
      <c r="F630" s="24"/>
      <c r="G630" s="6"/>
      <c r="H630" s="6"/>
      <c r="I630" s="13">
        <f>SUBTOTAL(9,I626:I629)</f>
        <v>165000</v>
      </c>
      <c r="J630" s="13">
        <f>SUBTOTAL(9,J626:J629)</f>
        <v>220000</v>
      </c>
    </row>
    <row r="631" spans="1:10" ht="33.75">
      <c r="A631" s="1" t="s">
        <v>564</v>
      </c>
      <c r="B631" s="66">
        <v>2</v>
      </c>
      <c r="C631" s="2">
        <v>4</v>
      </c>
      <c r="D631" s="1" t="s">
        <v>446</v>
      </c>
      <c r="E631" s="1" t="s">
        <v>447</v>
      </c>
      <c r="F631" s="5" t="s">
        <v>442</v>
      </c>
      <c r="G631" s="2" t="s">
        <v>983</v>
      </c>
      <c r="H631" s="2" t="s">
        <v>330</v>
      </c>
      <c r="I631" s="67">
        <v>395656.61</v>
      </c>
      <c r="J631" s="67">
        <f>I631/0.75</f>
        <v>527542.1466666666</v>
      </c>
    </row>
    <row r="632" spans="1:10" ht="33.75">
      <c r="A632" s="1" t="s">
        <v>564</v>
      </c>
      <c r="B632" s="66">
        <v>2</v>
      </c>
      <c r="C632" s="2">
        <v>4</v>
      </c>
      <c r="D632" s="1" t="s">
        <v>446</v>
      </c>
      <c r="E632" s="1" t="s">
        <v>447</v>
      </c>
      <c r="F632" s="1" t="s">
        <v>448</v>
      </c>
      <c r="G632" s="2" t="s">
        <v>984</v>
      </c>
      <c r="H632" s="2" t="s">
        <v>423</v>
      </c>
      <c r="I632" s="67">
        <v>100171.5</v>
      </c>
      <c r="J632" s="67">
        <f>I632/0.75</f>
        <v>133562</v>
      </c>
    </row>
    <row r="633" spans="1:10" ht="33.75">
      <c r="A633" s="24" t="s">
        <v>564</v>
      </c>
      <c r="B633" s="6">
        <v>2</v>
      </c>
      <c r="C633" s="6">
        <v>4</v>
      </c>
      <c r="D633" s="7" t="s">
        <v>446</v>
      </c>
      <c r="E633" s="24" t="s">
        <v>447</v>
      </c>
      <c r="F633" s="24"/>
      <c r="G633" s="6"/>
      <c r="H633" s="6"/>
      <c r="I633" s="13">
        <f>SUBTOTAL(9,I631:I632)</f>
        <v>495828.11</v>
      </c>
      <c r="J633" s="13">
        <f>SUBTOTAL(9,J631:J632)</f>
        <v>661104.1466666666</v>
      </c>
    </row>
    <row r="634" spans="1:10" ht="33.75">
      <c r="A634" s="3" t="s">
        <v>565</v>
      </c>
      <c r="B634" s="66">
        <v>2</v>
      </c>
      <c r="C634" s="8">
        <v>1</v>
      </c>
      <c r="D634" s="3" t="s">
        <v>254</v>
      </c>
      <c r="E634" s="3" t="s">
        <v>255</v>
      </c>
      <c r="F634" s="3" t="s">
        <v>659</v>
      </c>
      <c r="G634" s="8" t="s">
        <v>983</v>
      </c>
      <c r="H634" s="8" t="s">
        <v>423</v>
      </c>
      <c r="I634" s="67">
        <f>250500-250500</f>
        <v>0</v>
      </c>
      <c r="J634" s="67">
        <f>I634/0.75</f>
        <v>0</v>
      </c>
    </row>
    <row r="635" spans="1:10" ht="22.5">
      <c r="A635" s="3" t="s">
        <v>565</v>
      </c>
      <c r="B635" s="66">
        <v>2</v>
      </c>
      <c r="C635" s="8">
        <v>1</v>
      </c>
      <c r="D635" s="3" t="s">
        <v>254</v>
      </c>
      <c r="E635" s="3" t="s">
        <v>255</v>
      </c>
      <c r="F635" s="4" t="s">
        <v>307</v>
      </c>
      <c r="G635" s="8" t="s">
        <v>983</v>
      </c>
      <c r="H635" s="8" t="s">
        <v>330</v>
      </c>
      <c r="I635" s="68">
        <f>572400+250500+453175+540000</f>
        <v>1816075</v>
      </c>
      <c r="J635" s="67">
        <f>I635/0.75</f>
        <v>2421433.3333333335</v>
      </c>
    </row>
    <row r="636" spans="1:10" ht="22.5">
      <c r="A636" s="3" t="s">
        <v>565</v>
      </c>
      <c r="B636" s="66">
        <v>2</v>
      </c>
      <c r="C636" s="8">
        <v>1</v>
      </c>
      <c r="D636" s="3" t="s">
        <v>254</v>
      </c>
      <c r="E636" s="3" t="s">
        <v>255</v>
      </c>
      <c r="F636" s="3" t="s">
        <v>660</v>
      </c>
      <c r="G636" s="8" t="s">
        <v>984</v>
      </c>
      <c r="H636" s="8" t="s">
        <v>423</v>
      </c>
      <c r="I636" s="68">
        <f>571000-453175</f>
        <v>117825</v>
      </c>
      <c r="J636" s="67">
        <f>I636/0.75</f>
        <v>157100</v>
      </c>
    </row>
    <row r="637" spans="1:10" ht="22.5">
      <c r="A637" s="3" t="s">
        <v>565</v>
      </c>
      <c r="B637" s="66">
        <v>2</v>
      </c>
      <c r="C637" s="8">
        <v>1</v>
      </c>
      <c r="D637" s="3" t="s">
        <v>254</v>
      </c>
      <c r="E637" s="3" t="s">
        <v>255</v>
      </c>
      <c r="F637" s="3" t="s">
        <v>661</v>
      </c>
      <c r="G637" s="8" t="s">
        <v>984</v>
      </c>
      <c r="H637" s="8" t="s">
        <v>423</v>
      </c>
      <c r="I637" s="67">
        <v>250000</v>
      </c>
      <c r="J637" s="67">
        <f>I637/0.75</f>
        <v>333333.3333333333</v>
      </c>
    </row>
    <row r="638" spans="1:10" ht="22.5">
      <c r="A638" s="24" t="s">
        <v>565</v>
      </c>
      <c r="B638" s="6">
        <v>2</v>
      </c>
      <c r="C638" s="6">
        <v>1</v>
      </c>
      <c r="D638" s="7" t="s">
        <v>254</v>
      </c>
      <c r="E638" s="24" t="s">
        <v>255</v>
      </c>
      <c r="F638" s="24"/>
      <c r="G638" s="6"/>
      <c r="H638" s="6"/>
      <c r="I638" s="13">
        <f>SUBTOTAL(9,I634:I637)</f>
        <v>2183900</v>
      </c>
      <c r="J638" s="13">
        <f>SUBTOTAL(9,J634:J637)</f>
        <v>2911866.666666667</v>
      </c>
    </row>
    <row r="639" spans="1:10" ht="33.75">
      <c r="A639" s="3" t="s">
        <v>563</v>
      </c>
      <c r="B639" s="66">
        <v>2</v>
      </c>
      <c r="C639" s="8">
        <v>1</v>
      </c>
      <c r="D639" s="3" t="s">
        <v>529</v>
      </c>
      <c r="E639" s="3" t="s">
        <v>368</v>
      </c>
      <c r="F639" s="4" t="s">
        <v>856</v>
      </c>
      <c r="G639" s="8" t="s">
        <v>983</v>
      </c>
      <c r="H639" s="8" t="s">
        <v>330</v>
      </c>
      <c r="I639" s="67">
        <v>200000</v>
      </c>
      <c r="J639" s="67">
        <f>I639/0.75</f>
        <v>266666.6666666667</v>
      </c>
    </row>
    <row r="640" spans="1:10" ht="33.75">
      <c r="A640" s="3" t="s">
        <v>563</v>
      </c>
      <c r="B640" s="66">
        <v>2</v>
      </c>
      <c r="C640" s="8">
        <v>1</v>
      </c>
      <c r="D640" s="3" t="s">
        <v>529</v>
      </c>
      <c r="E640" s="3" t="s">
        <v>368</v>
      </c>
      <c r="F640" s="3" t="s">
        <v>857</v>
      </c>
      <c r="G640" s="8" t="s">
        <v>984</v>
      </c>
      <c r="H640" s="8" t="s">
        <v>423</v>
      </c>
      <c r="I640" s="67">
        <v>70000</v>
      </c>
      <c r="J640" s="67">
        <f>I640/0.75</f>
        <v>93333.33333333333</v>
      </c>
    </row>
    <row r="641" spans="1:10" ht="33.75">
      <c r="A641" s="3" t="s">
        <v>563</v>
      </c>
      <c r="B641" s="66">
        <v>2</v>
      </c>
      <c r="C641" s="8">
        <v>1</v>
      </c>
      <c r="D641" s="3" t="s">
        <v>529</v>
      </c>
      <c r="E641" s="3" t="s">
        <v>368</v>
      </c>
      <c r="F641" s="3" t="s">
        <v>690</v>
      </c>
      <c r="G641" s="8" t="s">
        <v>984</v>
      </c>
      <c r="H641" s="8" t="s">
        <v>423</v>
      </c>
      <c r="I641" s="67">
        <v>70000</v>
      </c>
      <c r="J641" s="67">
        <f>I641/0.75</f>
        <v>93333.33333333333</v>
      </c>
    </row>
    <row r="642" spans="1:10" ht="33.75">
      <c r="A642" s="24" t="s">
        <v>563</v>
      </c>
      <c r="B642" s="6">
        <v>2</v>
      </c>
      <c r="C642" s="6">
        <v>1</v>
      </c>
      <c r="D642" s="7" t="s">
        <v>529</v>
      </c>
      <c r="E642" s="24" t="s">
        <v>368</v>
      </c>
      <c r="F642" s="24"/>
      <c r="G642" s="6"/>
      <c r="H642" s="6"/>
      <c r="I642" s="13">
        <f>SUBTOTAL(9,I639:I641)</f>
        <v>340000</v>
      </c>
      <c r="J642" s="13">
        <f>SUBTOTAL(9,J639:J641)</f>
        <v>453333.3333333333</v>
      </c>
    </row>
    <row r="643" spans="1:10" ht="33.75">
      <c r="A643" s="3" t="s">
        <v>563</v>
      </c>
      <c r="B643" s="66">
        <v>2</v>
      </c>
      <c r="C643" s="8">
        <v>3</v>
      </c>
      <c r="D643" s="3" t="s">
        <v>691</v>
      </c>
      <c r="E643" s="3" t="s">
        <v>692</v>
      </c>
      <c r="F643" s="4" t="s">
        <v>369</v>
      </c>
      <c r="G643" s="8" t="s">
        <v>983</v>
      </c>
      <c r="H643" s="8" t="s">
        <v>330</v>
      </c>
      <c r="I643" s="67">
        <v>227700</v>
      </c>
      <c r="J643" s="67">
        <f>I643/0.75</f>
        <v>303600</v>
      </c>
    </row>
    <row r="644" spans="1:10" ht="33.75">
      <c r="A644" s="3" t="s">
        <v>563</v>
      </c>
      <c r="B644" s="66">
        <v>2</v>
      </c>
      <c r="C644" s="8">
        <v>3</v>
      </c>
      <c r="D644" s="3" t="s">
        <v>691</v>
      </c>
      <c r="E644" s="3" t="s">
        <v>692</v>
      </c>
      <c r="F644" s="3" t="s">
        <v>693</v>
      </c>
      <c r="G644" s="8" t="s">
        <v>984</v>
      </c>
      <c r="H644" s="8" t="s">
        <v>423</v>
      </c>
      <c r="I644" s="67">
        <v>30000</v>
      </c>
      <c r="J644" s="67">
        <f>I644/0.75</f>
        <v>40000</v>
      </c>
    </row>
    <row r="645" spans="1:10" ht="33.75">
      <c r="A645" s="24" t="s">
        <v>563</v>
      </c>
      <c r="B645" s="6">
        <v>2</v>
      </c>
      <c r="C645" s="6">
        <v>3</v>
      </c>
      <c r="D645" s="7" t="s">
        <v>691</v>
      </c>
      <c r="E645" s="24" t="s">
        <v>692</v>
      </c>
      <c r="F645" s="24"/>
      <c r="G645" s="6"/>
      <c r="H645" s="6"/>
      <c r="I645" s="13">
        <f>SUBTOTAL(9,I643:I644)</f>
        <v>257700</v>
      </c>
      <c r="J645" s="13">
        <f>SUBTOTAL(9,J643:J644)</f>
        <v>343600</v>
      </c>
    </row>
    <row r="646" spans="1:10" ht="33.75">
      <c r="A646" s="3" t="s">
        <v>563</v>
      </c>
      <c r="B646" s="66">
        <v>2</v>
      </c>
      <c r="C646" s="8">
        <v>1</v>
      </c>
      <c r="D646" s="3" t="s">
        <v>696</v>
      </c>
      <c r="E646" s="3" t="s">
        <v>300</v>
      </c>
      <c r="F646" s="4" t="s">
        <v>694</v>
      </c>
      <c r="G646" s="8" t="s">
        <v>983</v>
      </c>
      <c r="H646" s="8" t="s">
        <v>330</v>
      </c>
      <c r="I646" s="67">
        <v>705000</v>
      </c>
      <c r="J646" s="67">
        <f aca="true" t="shared" si="5" ref="J646:J651">I646/0.75</f>
        <v>940000</v>
      </c>
    </row>
    <row r="647" spans="1:10" ht="33.75">
      <c r="A647" s="3" t="s">
        <v>563</v>
      </c>
      <c r="B647" s="66">
        <v>2</v>
      </c>
      <c r="C647" s="8">
        <v>1</v>
      </c>
      <c r="D647" s="3" t="s">
        <v>696</v>
      </c>
      <c r="E647" s="3" t="s">
        <v>300</v>
      </c>
      <c r="F647" s="3" t="s">
        <v>695</v>
      </c>
      <c r="G647" s="8" t="s">
        <v>983</v>
      </c>
      <c r="H647" s="8" t="s">
        <v>423</v>
      </c>
      <c r="I647" s="67">
        <v>375000</v>
      </c>
      <c r="J647" s="67">
        <f t="shared" si="5"/>
        <v>500000</v>
      </c>
    </row>
    <row r="648" spans="1:10" ht="33.75">
      <c r="A648" s="3" t="s">
        <v>563</v>
      </c>
      <c r="B648" s="66">
        <v>2</v>
      </c>
      <c r="C648" s="8">
        <v>1</v>
      </c>
      <c r="D648" s="3" t="s">
        <v>696</v>
      </c>
      <c r="E648" s="3" t="s">
        <v>300</v>
      </c>
      <c r="F648" s="3" t="s">
        <v>389</v>
      </c>
      <c r="G648" s="8" t="s">
        <v>984</v>
      </c>
      <c r="H648" s="8" t="s">
        <v>423</v>
      </c>
      <c r="I648" s="67">
        <v>40000</v>
      </c>
      <c r="J648" s="67">
        <f t="shared" si="5"/>
        <v>53333.333333333336</v>
      </c>
    </row>
    <row r="649" spans="1:10" ht="33.75">
      <c r="A649" s="3" t="s">
        <v>563</v>
      </c>
      <c r="B649" s="66">
        <v>2</v>
      </c>
      <c r="C649" s="8">
        <v>1</v>
      </c>
      <c r="D649" s="3" t="s">
        <v>696</v>
      </c>
      <c r="E649" s="3" t="s">
        <v>300</v>
      </c>
      <c r="F649" s="3" t="s">
        <v>392</v>
      </c>
      <c r="G649" s="8" t="s">
        <v>984</v>
      </c>
      <c r="H649" s="8" t="s">
        <v>423</v>
      </c>
      <c r="I649" s="67">
        <f>60000+34624.02</f>
        <v>94624.01999999999</v>
      </c>
      <c r="J649" s="67">
        <f t="shared" si="5"/>
        <v>126165.35999999999</v>
      </c>
    </row>
    <row r="650" spans="1:10" ht="33.75">
      <c r="A650" s="3" t="s">
        <v>563</v>
      </c>
      <c r="B650" s="66">
        <v>2</v>
      </c>
      <c r="C650" s="8">
        <v>1</v>
      </c>
      <c r="D650" s="3" t="s">
        <v>696</v>
      </c>
      <c r="E650" s="3" t="s">
        <v>300</v>
      </c>
      <c r="F650" s="3" t="s">
        <v>264</v>
      </c>
      <c r="G650" s="8" t="s">
        <v>983</v>
      </c>
      <c r="H650" s="8" t="s">
        <v>423</v>
      </c>
      <c r="I650" s="67">
        <f>73500-34624.02</f>
        <v>38875.98</v>
      </c>
      <c r="J650" s="67">
        <f t="shared" si="5"/>
        <v>51834.64000000001</v>
      </c>
    </row>
    <row r="651" spans="1:10" ht="33.75">
      <c r="A651" s="3" t="s">
        <v>563</v>
      </c>
      <c r="B651" s="66">
        <v>2</v>
      </c>
      <c r="C651" s="8">
        <v>1</v>
      </c>
      <c r="D651" s="3" t="s">
        <v>696</v>
      </c>
      <c r="E651" s="3" t="s">
        <v>300</v>
      </c>
      <c r="F651" s="3" t="s">
        <v>552</v>
      </c>
      <c r="G651" s="8" t="s">
        <v>984</v>
      </c>
      <c r="H651" s="8" t="s">
        <v>423</v>
      </c>
      <c r="I651" s="67">
        <v>35000</v>
      </c>
      <c r="J651" s="67">
        <f t="shared" si="5"/>
        <v>46666.666666666664</v>
      </c>
    </row>
    <row r="652" spans="1:10" ht="33.75">
      <c r="A652" s="24" t="s">
        <v>563</v>
      </c>
      <c r="B652" s="6">
        <v>2</v>
      </c>
      <c r="C652" s="6">
        <v>1</v>
      </c>
      <c r="D652" s="7" t="s">
        <v>696</v>
      </c>
      <c r="E652" s="24" t="s">
        <v>300</v>
      </c>
      <c r="F652" s="24"/>
      <c r="G652" s="6"/>
      <c r="H652" s="6"/>
      <c r="I652" s="13">
        <f>SUBTOTAL(9,I646:I651)</f>
        <v>1288500</v>
      </c>
      <c r="J652" s="13">
        <f>SUBTOTAL(9,J646:J651)</f>
        <v>1718000</v>
      </c>
    </row>
    <row r="653" spans="1:10" ht="33.75">
      <c r="A653" s="3" t="s">
        <v>563</v>
      </c>
      <c r="B653" s="66">
        <v>2</v>
      </c>
      <c r="C653" s="8">
        <v>3</v>
      </c>
      <c r="D653" s="3" t="s">
        <v>709</v>
      </c>
      <c r="E653" s="3" t="s">
        <v>218</v>
      </c>
      <c r="F653" s="4" t="s">
        <v>607</v>
      </c>
      <c r="G653" s="8" t="s">
        <v>983</v>
      </c>
      <c r="H653" s="8" t="s">
        <v>330</v>
      </c>
      <c r="I653" s="67">
        <v>4500000</v>
      </c>
      <c r="J653" s="67">
        <f>I653/0.75</f>
        <v>6000000</v>
      </c>
    </row>
    <row r="654" spans="1:10" ht="33.75">
      <c r="A654" s="3" t="s">
        <v>563</v>
      </c>
      <c r="B654" s="66">
        <v>2</v>
      </c>
      <c r="C654" s="8">
        <v>3</v>
      </c>
      <c r="D654" s="3" t="s">
        <v>709</v>
      </c>
      <c r="E654" s="3" t="s">
        <v>218</v>
      </c>
      <c r="F654" s="3" t="s">
        <v>844</v>
      </c>
      <c r="G654" s="8" t="s">
        <v>984</v>
      </c>
      <c r="H654" s="8" t="s">
        <v>423</v>
      </c>
      <c r="I654" s="67">
        <v>0</v>
      </c>
      <c r="J654" s="67">
        <f>I654/0.75</f>
        <v>0</v>
      </c>
    </row>
    <row r="655" spans="1:10" ht="33.75">
      <c r="A655" s="3" t="s">
        <v>563</v>
      </c>
      <c r="B655" s="66">
        <v>2</v>
      </c>
      <c r="C655" s="8">
        <v>3</v>
      </c>
      <c r="D655" s="3" t="s">
        <v>709</v>
      </c>
      <c r="E655" s="3" t="s">
        <v>218</v>
      </c>
      <c r="F655" s="3" t="s">
        <v>821</v>
      </c>
      <c r="G655" s="8" t="s">
        <v>984</v>
      </c>
      <c r="H655" s="8" t="s">
        <v>423</v>
      </c>
      <c r="I655" s="67">
        <v>0</v>
      </c>
      <c r="J655" s="67">
        <f>I655/0.75</f>
        <v>0</v>
      </c>
    </row>
    <row r="656" spans="1:10" ht="33.75">
      <c r="A656" s="3" t="s">
        <v>563</v>
      </c>
      <c r="B656" s="66">
        <v>2</v>
      </c>
      <c r="C656" s="8">
        <v>3</v>
      </c>
      <c r="D656" s="3" t="s">
        <v>709</v>
      </c>
      <c r="E656" s="3" t="s">
        <v>218</v>
      </c>
      <c r="F656" s="3" t="s">
        <v>389</v>
      </c>
      <c r="G656" s="8" t="s">
        <v>984</v>
      </c>
      <c r="H656" s="8" t="s">
        <v>423</v>
      </c>
      <c r="I656" s="67">
        <v>0</v>
      </c>
      <c r="J656" s="67">
        <f>I656/0.75</f>
        <v>0</v>
      </c>
    </row>
    <row r="657" spans="1:10" ht="33.75">
      <c r="A657" s="24" t="s">
        <v>563</v>
      </c>
      <c r="B657" s="6">
        <v>2</v>
      </c>
      <c r="C657" s="6">
        <v>3</v>
      </c>
      <c r="D657" s="7" t="s">
        <v>709</v>
      </c>
      <c r="E657" s="24" t="s">
        <v>218</v>
      </c>
      <c r="F657" s="24"/>
      <c r="G657" s="6"/>
      <c r="H657" s="6"/>
      <c r="I657" s="13">
        <f>SUBTOTAL(9,I653:I656)</f>
        <v>4500000</v>
      </c>
      <c r="J657" s="13">
        <f>SUBTOTAL(9,J653:J656)</f>
        <v>6000000</v>
      </c>
    </row>
    <row r="658" spans="1:10" ht="45">
      <c r="A658" s="3" t="s">
        <v>563</v>
      </c>
      <c r="B658" s="66">
        <v>2</v>
      </c>
      <c r="C658" s="8">
        <v>3</v>
      </c>
      <c r="D658" s="3" t="s">
        <v>375</v>
      </c>
      <c r="E658" s="3" t="s">
        <v>219</v>
      </c>
      <c r="F658" s="4" t="s">
        <v>1011</v>
      </c>
      <c r="G658" s="8" t="s">
        <v>983</v>
      </c>
      <c r="H658" s="8" t="s">
        <v>330</v>
      </c>
      <c r="I658" s="68">
        <f>405000-21378.28</f>
        <v>383621.72</v>
      </c>
      <c r="J658" s="67">
        <f aca="true" t="shared" si="6" ref="J658:J664">I658/0.75</f>
        <v>511495.62666666665</v>
      </c>
    </row>
    <row r="659" spans="1:10" ht="33.75">
      <c r="A659" s="3" t="s">
        <v>563</v>
      </c>
      <c r="B659" s="66">
        <v>2</v>
      </c>
      <c r="C659" s="8">
        <v>3</v>
      </c>
      <c r="D659" s="3" t="s">
        <v>375</v>
      </c>
      <c r="E659" s="3" t="s">
        <v>219</v>
      </c>
      <c r="F659" s="3" t="s">
        <v>657</v>
      </c>
      <c r="G659" s="8" t="s">
        <v>983</v>
      </c>
      <c r="H659" s="8" t="s">
        <v>423</v>
      </c>
      <c r="I659" s="68">
        <f>95318.1+169878.28</f>
        <v>265196.38</v>
      </c>
      <c r="J659" s="67">
        <f t="shared" si="6"/>
        <v>353595.17333333334</v>
      </c>
    </row>
    <row r="660" spans="1:10" ht="33.75">
      <c r="A660" s="3" t="s">
        <v>563</v>
      </c>
      <c r="B660" s="66">
        <v>2</v>
      </c>
      <c r="C660" s="8">
        <v>3</v>
      </c>
      <c r="D660" s="3" t="s">
        <v>375</v>
      </c>
      <c r="E660" s="3" t="s">
        <v>219</v>
      </c>
      <c r="F660" s="3" t="s">
        <v>834</v>
      </c>
      <c r="G660" s="8" t="s">
        <v>983</v>
      </c>
      <c r="H660" s="8" t="s">
        <v>423</v>
      </c>
      <c r="I660" s="68">
        <f>315000+1044305.5</f>
        <v>1359305.5</v>
      </c>
      <c r="J660" s="67">
        <f t="shared" si="6"/>
        <v>1812407.3333333333</v>
      </c>
    </row>
    <row r="661" spans="1:10" ht="33.75">
      <c r="A661" s="3" t="s">
        <v>563</v>
      </c>
      <c r="B661" s="66">
        <v>2</v>
      </c>
      <c r="C661" s="8">
        <v>3</v>
      </c>
      <c r="D661" s="3" t="s">
        <v>375</v>
      </c>
      <c r="E661" s="3" t="s">
        <v>219</v>
      </c>
      <c r="F661" s="3" t="s">
        <v>755</v>
      </c>
      <c r="G661" s="8" t="s">
        <v>983</v>
      </c>
      <c r="H661" s="8" t="s">
        <v>423</v>
      </c>
      <c r="I661" s="68">
        <f>60000+143597.22</f>
        <v>203597.22</v>
      </c>
      <c r="J661" s="67">
        <f t="shared" si="6"/>
        <v>271462.96</v>
      </c>
    </row>
    <row r="662" spans="1:10" ht="33.75">
      <c r="A662" s="3" t="s">
        <v>563</v>
      </c>
      <c r="B662" s="66">
        <v>2</v>
      </c>
      <c r="C662" s="8">
        <v>3</v>
      </c>
      <c r="D662" s="3" t="s">
        <v>375</v>
      </c>
      <c r="E662" s="3" t="s">
        <v>219</v>
      </c>
      <c r="F662" s="3" t="s">
        <v>736</v>
      </c>
      <c r="G662" s="8" t="s">
        <v>984</v>
      </c>
      <c r="H662" s="8" t="s">
        <v>423</v>
      </c>
      <c r="I662" s="68">
        <f>20000-10124.89</f>
        <v>9875.11</v>
      </c>
      <c r="J662" s="67">
        <f t="shared" si="6"/>
        <v>13166.813333333334</v>
      </c>
    </row>
    <row r="663" spans="1:10" ht="33.75">
      <c r="A663" s="3" t="s">
        <v>563</v>
      </c>
      <c r="B663" s="66">
        <v>2</v>
      </c>
      <c r="C663" s="8">
        <v>3</v>
      </c>
      <c r="D663" s="3" t="s">
        <v>375</v>
      </c>
      <c r="E663" s="3" t="s">
        <v>219</v>
      </c>
      <c r="F663" s="3" t="s">
        <v>346</v>
      </c>
      <c r="G663" s="8" t="s">
        <v>984</v>
      </c>
      <c r="H663" s="8" t="s">
        <v>423</v>
      </c>
      <c r="I663" s="68">
        <v>37301.52</v>
      </c>
      <c r="J663" s="67">
        <f t="shared" si="6"/>
        <v>49735.35999999999</v>
      </c>
    </row>
    <row r="664" spans="1:10" ht="33.75">
      <c r="A664" s="3" t="s">
        <v>563</v>
      </c>
      <c r="B664" s="66">
        <v>2</v>
      </c>
      <c r="C664" s="8">
        <v>3</v>
      </c>
      <c r="D664" s="3" t="s">
        <v>375</v>
      </c>
      <c r="E664" s="3" t="s">
        <v>219</v>
      </c>
      <c r="F664" s="3" t="s">
        <v>658</v>
      </c>
      <c r="G664" s="8" t="s">
        <v>984</v>
      </c>
      <c r="H664" s="8" t="s">
        <v>423</v>
      </c>
      <c r="I664" s="68">
        <f>20000+10124.89</f>
        <v>30124.89</v>
      </c>
      <c r="J664" s="67">
        <f t="shared" si="6"/>
        <v>40166.52</v>
      </c>
    </row>
    <row r="665" spans="1:10" ht="33.75">
      <c r="A665" s="24" t="s">
        <v>563</v>
      </c>
      <c r="B665" s="6">
        <v>2</v>
      </c>
      <c r="C665" s="6">
        <v>3</v>
      </c>
      <c r="D665" s="7" t="s">
        <v>375</v>
      </c>
      <c r="E665" s="24" t="s">
        <v>219</v>
      </c>
      <c r="F665" s="24"/>
      <c r="G665" s="6"/>
      <c r="H665" s="6"/>
      <c r="I665" s="13">
        <f>SUBTOTAL(9,I658:I664)</f>
        <v>2289022.3400000003</v>
      </c>
      <c r="J665" s="13">
        <f>SUBTOTAL(9,J658:J664)</f>
        <v>3052029.7866666666</v>
      </c>
    </row>
    <row r="666" spans="1:10" ht="33.75">
      <c r="A666" s="3" t="s">
        <v>563</v>
      </c>
      <c r="B666" s="66">
        <v>2</v>
      </c>
      <c r="C666" s="8">
        <v>1</v>
      </c>
      <c r="D666" s="3" t="s">
        <v>523</v>
      </c>
      <c r="E666" s="3" t="s">
        <v>756</v>
      </c>
      <c r="F666" s="3" t="s">
        <v>757</v>
      </c>
      <c r="G666" s="8" t="s">
        <v>983</v>
      </c>
      <c r="H666" s="8" t="s">
        <v>423</v>
      </c>
      <c r="I666" s="67">
        <v>155141.59</v>
      </c>
      <c r="J666" s="67">
        <f aca="true" t="shared" si="7" ref="J666:J690">I666/0.75</f>
        <v>206855.45333333334</v>
      </c>
    </row>
    <row r="667" spans="1:10" ht="56.25">
      <c r="A667" s="3" t="s">
        <v>563</v>
      </c>
      <c r="B667" s="66">
        <v>2</v>
      </c>
      <c r="C667" s="8">
        <v>1</v>
      </c>
      <c r="D667" s="3" t="s">
        <v>523</v>
      </c>
      <c r="E667" s="3" t="s">
        <v>756</v>
      </c>
      <c r="F667" s="3" t="s">
        <v>1008</v>
      </c>
      <c r="G667" s="8" t="s">
        <v>984</v>
      </c>
      <c r="H667" s="8" t="s">
        <v>423</v>
      </c>
      <c r="I667" s="67">
        <v>30000</v>
      </c>
      <c r="J667" s="67">
        <f t="shared" si="7"/>
        <v>40000</v>
      </c>
    </row>
    <row r="668" spans="1:10" ht="33.75">
      <c r="A668" s="3" t="s">
        <v>563</v>
      </c>
      <c r="B668" s="66">
        <v>2</v>
      </c>
      <c r="C668" s="8">
        <v>1</v>
      </c>
      <c r="D668" s="3" t="s">
        <v>523</v>
      </c>
      <c r="E668" s="3" t="s">
        <v>756</v>
      </c>
      <c r="F668" s="3" t="s">
        <v>524</v>
      </c>
      <c r="G668" s="8" t="s">
        <v>984</v>
      </c>
      <c r="H668" s="8" t="s">
        <v>423</v>
      </c>
      <c r="I668" s="67">
        <v>30000</v>
      </c>
      <c r="J668" s="67">
        <f t="shared" si="7"/>
        <v>40000</v>
      </c>
    </row>
    <row r="669" spans="1:10" ht="33.75">
      <c r="A669" s="3" t="s">
        <v>563</v>
      </c>
      <c r="B669" s="66">
        <v>2</v>
      </c>
      <c r="C669" s="8">
        <v>1</v>
      </c>
      <c r="D669" s="3" t="s">
        <v>523</v>
      </c>
      <c r="E669" s="3" t="s">
        <v>756</v>
      </c>
      <c r="F669" s="3" t="s">
        <v>605</v>
      </c>
      <c r="G669" s="8" t="s">
        <v>984</v>
      </c>
      <c r="H669" s="8" t="s">
        <v>423</v>
      </c>
      <c r="I669" s="67">
        <v>50000</v>
      </c>
      <c r="J669" s="67">
        <f t="shared" si="7"/>
        <v>66666.66666666667</v>
      </c>
    </row>
    <row r="670" spans="1:10" ht="45">
      <c r="A670" s="3" t="s">
        <v>563</v>
      </c>
      <c r="B670" s="66">
        <v>2</v>
      </c>
      <c r="C670" s="8">
        <v>1</v>
      </c>
      <c r="D670" s="3" t="s">
        <v>523</v>
      </c>
      <c r="E670" s="3" t="s">
        <v>756</v>
      </c>
      <c r="F670" s="4" t="s">
        <v>366</v>
      </c>
      <c r="G670" s="8" t="s">
        <v>983</v>
      </c>
      <c r="H670" s="8" t="s">
        <v>330</v>
      </c>
      <c r="I670" s="68">
        <f>3000000-1101150</f>
        <v>1898850</v>
      </c>
      <c r="J670" s="68">
        <f t="shared" si="7"/>
        <v>2531800</v>
      </c>
    </row>
    <row r="671" spans="1:10" ht="33.75">
      <c r="A671" s="3" t="s">
        <v>563</v>
      </c>
      <c r="B671" s="66">
        <v>2</v>
      </c>
      <c r="C671" s="8">
        <v>1</v>
      </c>
      <c r="D671" s="3" t="s">
        <v>523</v>
      </c>
      <c r="E671" s="3" t="s">
        <v>756</v>
      </c>
      <c r="F671" s="3" t="s">
        <v>657</v>
      </c>
      <c r="G671" s="8" t="s">
        <v>983</v>
      </c>
      <c r="H671" s="8" t="s">
        <v>423</v>
      </c>
      <c r="I671" s="68">
        <v>224625</v>
      </c>
      <c r="J671" s="68">
        <f t="shared" si="7"/>
        <v>299500</v>
      </c>
    </row>
    <row r="672" spans="1:10" ht="33.75">
      <c r="A672" s="3" t="s">
        <v>563</v>
      </c>
      <c r="B672" s="66">
        <v>2</v>
      </c>
      <c r="C672" s="8">
        <v>1</v>
      </c>
      <c r="D672" s="3" t="s">
        <v>523</v>
      </c>
      <c r="E672" s="3" t="s">
        <v>756</v>
      </c>
      <c r="F672" s="3" t="s">
        <v>362</v>
      </c>
      <c r="G672" s="8" t="s">
        <v>983</v>
      </c>
      <c r="H672" s="8" t="s">
        <v>423</v>
      </c>
      <c r="I672" s="68">
        <v>105000</v>
      </c>
      <c r="J672" s="68">
        <f t="shared" si="7"/>
        <v>140000</v>
      </c>
    </row>
    <row r="673" spans="1:10" ht="33.75">
      <c r="A673" s="3" t="s">
        <v>563</v>
      </c>
      <c r="B673" s="66">
        <v>2</v>
      </c>
      <c r="C673" s="8">
        <v>1</v>
      </c>
      <c r="D673" s="3" t="s">
        <v>523</v>
      </c>
      <c r="E673" s="3" t="s">
        <v>756</v>
      </c>
      <c r="F673" s="3" t="s">
        <v>363</v>
      </c>
      <c r="G673" s="8" t="s">
        <v>983</v>
      </c>
      <c r="H673" s="8" t="s">
        <v>423</v>
      </c>
      <c r="I673" s="68">
        <v>146250</v>
      </c>
      <c r="J673" s="68">
        <f t="shared" si="7"/>
        <v>195000</v>
      </c>
    </row>
    <row r="674" spans="1:10" ht="33.75">
      <c r="A674" s="3" t="s">
        <v>563</v>
      </c>
      <c r="B674" s="66">
        <v>2</v>
      </c>
      <c r="C674" s="8">
        <v>1</v>
      </c>
      <c r="D674" s="3" t="s">
        <v>523</v>
      </c>
      <c r="E674" s="3" t="s">
        <v>756</v>
      </c>
      <c r="F674" s="3" t="s">
        <v>876</v>
      </c>
      <c r="G674" s="8" t="s">
        <v>983</v>
      </c>
      <c r="H674" s="8" t="s">
        <v>423</v>
      </c>
      <c r="I674" s="68">
        <v>207750</v>
      </c>
      <c r="J674" s="68">
        <f t="shared" si="7"/>
        <v>277000</v>
      </c>
    </row>
    <row r="675" spans="1:10" ht="33.75">
      <c r="A675" s="3" t="s">
        <v>563</v>
      </c>
      <c r="B675" s="66">
        <v>2</v>
      </c>
      <c r="C675" s="8">
        <v>1</v>
      </c>
      <c r="D675" s="3" t="s">
        <v>523</v>
      </c>
      <c r="E675" s="3" t="s">
        <v>756</v>
      </c>
      <c r="F675" s="3" t="s">
        <v>364</v>
      </c>
      <c r="G675" s="8" t="s">
        <v>983</v>
      </c>
      <c r="H675" s="8" t="s">
        <v>423</v>
      </c>
      <c r="I675" s="68">
        <v>112875</v>
      </c>
      <c r="J675" s="68">
        <f t="shared" si="7"/>
        <v>150500</v>
      </c>
    </row>
    <row r="676" spans="1:10" ht="33.75">
      <c r="A676" s="3" t="s">
        <v>563</v>
      </c>
      <c r="B676" s="66">
        <v>2</v>
      </c>
      <c r="C676" s="8">
        <v>1</v>
      </c>
      <c r="D676" s="3" t="s">
        <v>523</v>
      </c>
      <c r="E676" s="3" t="s">
        <v>756</v>
      </c>
      <c r="F676" s="3" t="s">
        <v>365</v>
      </c>
      <c r="G676" s="8" t="s">
        <v>983</v>
      </c>
      <c r="H676" s="8" t="s">
        <v>423</v>
      </c>
      <c r="I676" s="68">
        <f>304650-77864.21</f>
        <v>226785.78999999998</v>
      </c>
      <c r="J676" s="68">
        <f t="shared" si="7"/>
        <v>302381.0533333333</v>
      </c>
    </row>
    <row r="677" spans="1:10" ht="33.75">
      <c r="A677" s="3" t="s">
        <v>563</v>
      </c>
      <c r="B677" s="66">
        <v>2</v>
      </c>
      <c r="C677" s="8">
        <v>1</v>
      </c>
      <c r="D677" s="3" t="s">
        <v>523</v>
      </c>
      <c r="E677" s="3" t="s">
        <v>756</v>
      </c>
      <c r="F677" s="3" t="s">
        <v>971</v>
      </c>
      <c r="G677" s="8"/>
      <c r="H677" s="8" t="s">
        <v>423</v>
      </c>
      <c r="I677" s="68">
        <f>0+77864.21</f>
        <v>77864.21</v>
      </c>
      <c r="J677" s="68">
        <f t="shared" si="7"/>
        <v>103818.94666666667</v>
      </c>
    </row>
    <row r="678" spans="1:10" ht="33.75">
      <c r="A678" s="3" t="s">
        <v>563</v>
      </c>
      <c r="B678" s="66">
        <v>2</v>
      </c>
      <c r="C678" s="8">
        <v>1</v>
      </c>
      <c r="D678" s="3" t="s">
        <v>523</v>
      </c>
      <c r="E678" s="3" t="s">
        <v>756</v>
      </c>
      <c r="F678" s="3" t="s">
        <v>361</v>
      </c>
      <c r="G678" s="8" t="s">
        <v>983</v>
      </c>
      <c r="H678" s="8" t="s">
        <v>423</v>
      </c>
      <c r="I678" s="68">
        <v>279750</v>
      </c>
      <c r="J678" s="68">
        <f t="shared" si="7"/>
        <v>373000</v>
      </c>
    </row>
    <row r="679" spans="1:10" ht="33.75">
      <c r="A679" s="3" t="s">
        <v>563</v>
      </c>
      <c r="B679" s="66">
        <v>2</v>
      </c>
      <c r="C679" s="8">
        <v>1</v>
      </c>
      <c r="D679" s="3" t="s">
        <v>523</v>
      </c>
      <c r="E679" s="3" t="s">
        <v>756</v>
      </c>
      <c r="F679" s="3" t="s">
        <v>745</v>
      </c>
      <c r="G679" s="8" t="s">
        <v>983</v>
      </c>
      <c r="H679" s="8" t="s">
        <v>423</v>
      </c>
      <c r="I679" s="68">
        <v>95812.5</v>
      </c>
      <c r="J679" s="68">
        <f t="shared" si="7"/>
        <v>127750</v>
      </c>
    </row>
    <row r="680" spans="1:10" ht="33.75">
      <c r="A680" s="3" t="s">
        <v>563</v>
      </c>
      <c r="B680" s="66">
        <v>2</v>
      </c>
      <c r="C680" s="8">
        <v>1</v>
      </c>
      <c r="D680" s="3" t="s">
        <v>523</v>
      </c>
      <c r="E680" s="3" t="s">
        <v>756</v>
      </c>
      <c r="F680" s="3" t="s">
        <v>746</v>
      </c>
      <c r="G680" s="8" t="s">
        <v>983</v>
      </c>
      <c r="H680" s="8" t="s">
        <v>423</v>
      </c>
      <c r="I680" s="67">
        <v>239370.25</v>
      </c>
      <c r="J680" s="67">
        <f t="shared" si="7"/>
        <v>319160.3333333333</v>
      </c>
    </row>
    <row r="681" spans="1:10" ht="33.75">
      <c r="A681" s="3" t="s">
        <v>563</v>
      </c>
      <c r="B681" s="66">
        <v>2</v>
      </c>
      <c r="C681" s="8">
        <v>1</v>
      </c>
      <c r="D681" s="3" t="s">
        <v>523</v>
      </c>
      <c r="E681" s="3" t="s">
        <v>756</v>
      </c>
      <c r="F681" s="3" t="s">
        <v>525</v>
      </c>
      <c r="G681" s="8" t="s">
        <v>984</v>
      </c>
      <c r="H681" s="8" t="s">
        <v>423</v>
      </c>
      <c r="I681" s="67">
        <f>50000+30000</f>
        <v>80000</v>
      </c>
      <c r="J681" s="67">
        <f t="shared" si="7"/>
        <v>106666.66666666667</v>
      </c>
    </row>
    <row r="682" spans="1:10" ht="33.75">
      <c r="A682" s="3" t="s">
        <v>563</v>
      </c>
      <c r="B682" s="66">
        <v>2</v>
      </c>
      <c r="C682" s="8">
        <v>1</v>
      </c>
      <c r="D682" s="3" t="s">
        <v>523</v>
      </c>
      <c r="E682" s="3" t="s">
        <v>756</v>
      </c>
      <c r="F682" s="3" t="s">
        <v>526</v>
      </c>
      <c r="G682" s="8" t="s">
        <v>984</v>
      </c>
      <c r="H682" s="8" t="s">
        <v>423</v>
      </c>
      <c r="I682" s="67">
        <v>25000</v>
      </c>
      <c r="J682" s="67">
        <f t="shared" si="7"/>
        <v>33333.333333333336</v>
      </c>
    </row>
    <row r="683" spans="1:10" ht="33.75">
      <c r="A683" s="3" t="s">
        <v>563</v>
      </c>
      <c r="B683" s="66">
        <v>2</v>
      </c>
      <c r="C683" s="8">
        <v>1</v>
      </c>
      <c r="D683" s="3" t="s">
        <v>523</v>
      </c>
      <c r="E683" s="3" t="s">
        <v>756</v>
      </c>
      <c r="F683" s="3" t="s">
        <v>747</v>
      </c>
      <c r="G683" s="8" t="s">
        <v>984</v>
      </c>
      <c r="H683" s="8" t="s">
        <v>423</v>
      </c>
      <c r="I683" s="67">
        <v>40000</v>
      </c>
      <c r="J683" s="67">
        <f t="shared" si="7"/>
        <v>53333.333333333336</v>
      </c>
    </row>
    <row r="684" spans="1:10" ht="33.75">
      <c r="A684" s="3" t="s">
        <v>563</v>
      </c>
      <c r="B684" s="66">
        <v>2</v>
      </c>
      <c r="C684" s="8">
        <v>1</v>
      </c>
      <c r="D684" s="3" t="s">
        <v>523</v>
      </c>
      <c r="E684" s="3" t="s">
        <v>756</v>
      </c>
      <c r="F684" s="3" t="s">
        <v>527</v>
      </c>
      <c r="G684" s="8" t="s">
        <v>984</v>
      </c>
      <c r="H684" s="8" t="s">
        <v>423</v>
      </c>
      <c r="I684" s="67">
        <v>30000</v>
      </c>
      <c r="J684" s="67">
        <f t="shared" si="7"/>
        <v>40000</v>
      </c>
    </row>
    <row r="685" spans="1:10" ht="33.75">
      <c r="A685" s="3" t="s">
        <v>563</v>
      </c>
      <c r="B685" s="66">
        <v>2</v>
      </c>
      <c r="C685" s="8">
        <v>1</v>
      </c>
      <c r="D685" s="3" t="s">
        <v>523</v>
      </c>
      <c r="E685" s="3" t="s">
        <v>756</v>
      </c>
      <c r="F685" s="3" t="s">
        <v>748</v>
      </c>
      <c r="G685" s="8" t="s">
        <v>984</v>
      </c>
      <c r="H685" s="8" t="s">
        <v>423</v>
      </c>
      <c r="I685" s="67">
        <f>30000-30000</f>
        <v>0</v>
      </c>
      <c r="J685" s="67">
        <f t="shared" si="7"/>
        <v>0</v>
      </c>
    </row>
    <row r="686" spans="1:10" ht="33.75">
      <c r="A686" s="3" t="s">
        <v>563</v>
      </c>
      <c r="B686" s="66">
        <v>2</v>
      </c>
      <c r="C686" s="8">
        <v>1</v>
      </c>
      <c r="D686" s="3" t="s">
        <v>523</v>
      </c>
      <c r="E686" s="3" t="s">
        <v>756</v>
      </c>
      <c r="F686" s="3" t="s">
        <v>749</v>
      </c>
      <c r="G686" s="8" t="s">
        <v>984</v>
      </c>
      <c r="H686" s="8" t="s">
        <v>423</v>
      </c>
      <c r="I686" s="67">
        <v>30000</v>
      </c>
      <c r="J686" s="67">
        <f t="shared" si="7"/>
        <v>40000</v>
      </c>
    </row>
    <row r="687" spans="1:10" ht="33.75">
      <c r="A687" s="3" t="s">
        <v>563</v>
      </c>
      <c r="B687" s="66">
        <v>2</v>
      </c>
      <c r="C687" s="8">
        <v>1</v>
      </c>
      <c r="D687" s="3" t="s">
        <v>523</v>
      </c>
      <c r="E687" s="3" t="s">
        <v>756</v>
      </c>
      <c r="F687" s="3" t="s">
        <v>750</v>
      </c>
      <c r="G687" s="8" t="s">
        <v>984</v>
      </c>
      <c r="H687" s="8" t="s">
        <v>423</v>
      </c>
      <c r="I687" s="67">
        <v>30000</v>
      </c>
      <c r="J687" s="67">
        <f t="shared" si="7"/>
        <v>40000</v>
      </c>
    </row>
    <row r="688" spans="1:10" ht="33.75">
      <c r="A688" s="3" t="s">
        <v>563</v>
      </c>
      <c r="B688" s="66">
        <v>2</v>
      </c>
      <c r="C688" s="8">
        <v>1</v>
      </c>
      <c r="D688" s="3" t="s">
        <v>523</v>
      </c>
      <c r="E688" s="3" t="s">
        <v>756</v>
      </c>
      <c r="F688" s="3" t="s">
        <v>751</v>
      </c>
      <c r="G688" s="8" t="s">
        <v>984</v>
      </c>
      <c r="H688" s="8" t="s">
        <v>423</v>
      </c>
      <c r="I688" s="67">
        <v>30000</v>
      </c>
      <c r="J688" s="67">
        <f t="shared" si="7"/>
        <v>40000</v>
      </c>
    </row>
    <row r="689" spans="1:10" ht="33.75">
      <c r="A689" s="3" t="s">
        <v>563</v>
      </c>
      <c r="B689" s="66">
        <v>2</v>
      </c>
      <c r="C689" s="8">
        <v>1</v>
      </c>
      <c r="D689" s="3" t="s">
        <v>523</v>
      </c>
      <c r="E689" s="3" t="s">
        <v>756</v>
      </c>
      <c r="F689" s="3" t="s">
        <v>752</v>
      </c>
      <c r="G689" s="8" t="s">
        <v>984</v>
      </c>
      <c r="H689" s="8" t="s">
        <v>423</v>
      </c>
      <c r="I689" s="67">
        <v>20000</v>
      </c>
      <c r="J689" s="67">
        <f t="shared" si="7"/>
        <v>26666.666666666668</v>
      </c>
    </row>
    <row r="690" spans="1:10" ht="33.75">
      <c r="A690" s="3" t="s">
        <v>563</v>
      </c>
      <c r="B690" s="66">
        <v>2</v>
      </c>
      <c r="C690" s="8">
        <v>1</v>
      </c>
      <c r="D690" s="3" t="s">
        <v>523</v>
      </c>
      <c r="E690" s="3" t="s">
        <v>756</v>
      </c>
      <c r="F690" s="3" t="s">
        <v>753</v>
      </c>
      <c r="G690" s="8" t="s">
        <v>984</v>
      </c>
      <c r="H690" s="8" t="s">
        <v>423</v>
      </c>
      <c r="I690" s="67">
        <v>30000</v>
      </c>
      <c r="J690" s="67">
        <f t="shared" si="7"/>
        <v>40000</v>
      </c>
    </row>
    <row r="691" spans="1:10" ht="33.75">
      <c r="A691" s="24" t="s">
        <v>563</v>
      </c>
      <c r="B691" s="6">
        <v>2</v>
      </c>
      <c r="C691" s="6">
        <v>1</v>
      </c>
      <c r="D691" s="7" t="s">
        <v>523</v>
      </c>
      <c r="E691" s="24" t="s">
        <v>756</v>
      </c>
      <c r="F691" s="24"/>
      <c r="G691" s="6"/>
      <c r="H691" s="6"/>
      <c r="I691" s="13">
        <f>SUBTOTAL(9,I666:I690)</f>
        <v>4195074.34</v>
      </c>
      <c r="J691" s="13">
        <f>SUBTOTAL(9,J666:J690)</f>
        <v>5593432.453333333</v>
      </c>
    </row>
    <row r="692" spans="1:10" ht="45">
      <c r="A692" s="3" t="s">
        <v>563</v>
      </c>
      <c r="B692" s="66">
        <v>2</v>
      </c>
      <c r="C692" s="8">
        <v>2</v>
      </c>
      <c r="D692" s="3" t="s">
        <v>306</v>
      </c>
      <c r="E692" s="3" t="s">
        <v>242</v>
      </c>
      <c r="F692" s="3" t="s">
        <v>1009</v>
      </c>
      <c r="G692" s="8" t="s">
        <v>984</v>
      </c>
      <c r="H692" s="8" t="s">
        <v>423</v>
      </c>
      <c r="I692" s="67">
        <v>50000</v>
      </c>
      <c r="J692" s="67">
        <f>I692/0.75</f>
        <v>66666.66666666667</v>
      </c>
    </row>
    <row r="693" spans="1:10" ht="45">
      <c r="A693" s="3" t="s">
        <v>563</v>
      </c>
      <c r="B693" s="66">
        <v>2</v>
      </c>
      <c r="C693" s="8">
        <v>2</v>
      </c>
      <c r="D693" s="3" t="s">
        <v>306</v>
      </c>
      <c r="E693" s="3" t="s">
        <v>242</v>
      </c>
      <c r="F693" s="3" t="s">
        <v>831</v>
      </c>
      <c r="G693" s="8" t="s">
        <v>983</v>
      </c>
      <c r="H693" s="8" t="s">
        <v>423</v>
      </c>
      <c r="I693" s="68">
        <v>1468454.06</v>
      </c>
      <c r="J693" s="67">
        <f>I693/0.75</f>
        <v>1957938.7466666668</v>
      </c>
    </row>
    <row r="694" spans="1:10" ht="45">
      <c r="A694" s="3" t="s">
        <v>563</v>
      </c>
      <c r="B694" s="66">
        <v>2</v>
      </c>
      <c r="C694" s="8">
        <v>2</v>
      </c>
      <c r="D694" s="3" t="s">
        <v>306</v>
      </c>
      <c r="E694" s="3" t="s">
        <v>242</v>
      </c>
      <c r="F694" s="4" t="s">
        <v>833</v>
      </c>
      <c r="G694" s="8" t="s">
        <v>983</v>
      </c>
      <c r="H694" s="8" t="s">
        <v>330</v>
      </c>
      <c r="I694" s="68">
        <v>926250</v>
      </c>
      <c r="J694" s="67">
        <f>I694/0.75</f>
        <v>1235000</v>
      </c>
    </row>
    <row r="695" spans="1:10" ht="45">
      <c r="A695" s="3" t="s">
        <v>563</v>
      </c>
      <c r="B695" s="66">
        <v>2</v>
      </c>
      <c r="C695" s="8">
        <v>2</v>
      </c>
      <c r="D695" s="3" t="s">
        <v>306</v>
      </c>
      <c r="E695" s="3" t="s">
        <v>242</v>
      </c>
      <c r="F695" s="3" t="s">
        <v>828</v>
      </c>
      <c r="G695" s="8" t="s">
        <v>983</v>
      </c>
      <c r="H695" s="8" t="s">
        <v>423</v>
      </c>
      <c r="I695" s="68">
        <v>75000</v>
      </c>
      <c r="J695" s="67">
        <f>I695/0.75</f>
        <v>100000</v>
      </c>
    </row>
    <row r="696" spans="1:10" ht="45">
      <c r="A696" s="3" t="s">
        <v>563</v>
      </c>
      <c r="B696" s="66">
        <v>2</v>
      </c>
      <c r="C696" s="8">
        <v>2</v>
      </c>
      <c r="D696" s="3" t="s">
        <v>306</v>
      </c>
      <c r="E696" s="3" t="s">
        <v>242</v>
      </c>
      <c r="F696" s="3" t="s">
        <v>608</v>
      </c>
      <c r="G696" s="8" t="s">
        <v>983</v>
      </c>
      <c r="H696" s="8" t="s">
        <v>423</v>
      </c>
      <c r="I696" s="68">
        <f>150000+112500</f>
        <v>262500</v>
      </c>
      <c r="J696" s="67">
        <f>I696/0.75</f>
        <v>350000</v>
      </c>
    </row>
    <row r="697" spans="1:10" ht="45">
      <c r="A697" s="24" t="s">
        <v>563</v>
      </c>
      <c r="B697" s="6">
        <v>2</v>
      </c>
      <c r="C697" s="6">
        <v>2</v>
      </c>
      <c r="D697" s="7" t="s">
        <v>306</v>
      </c>
      <c r="E697" s="24" t="s">
        <v>242</v>
      </c>
      <c r="F697" s="24"/>
      <c r="G697" s="6"/>
      <c r="H697" s="6"/>
      <c r="I697" s="13">
        <f>SUBTOTAL(9,I692:I696)</f>
        <v>2782204.06</v>
      </c>
      <c r="J697" s="13">
        <f>SUBTOTAL(9,J692:J696)</f>
        <v>3709605.4133333336</v>
      </c>
    </row>
    <row r="698" spans="1:10" ht="45">
      <c r="A698" s="3" t="s">
        <v>563</v>
      </c>
      <c r="B698" s="66">
        <v>2</v>
      </c>
      <c r="C698" s="8">
        <v>3</v>
      </c>
      <c r="D698" s="3" t="s">
        <v>394</v>
      </c>
      <c r="E698" s="3" t="s">
        <v>220</v>
      </c>
      <c r="F698" s="3" t="s">
        <v>524</v>
      </c>
      <c r="G698" s="8" t="s">
        <v>984</v>
      </c>
      <c r="H698" s="8" t="s">
        <v>423</v>
      </c>
      <c r="I698" s="68">
        <f>75000+15000</f>
        <v>90000</v>
      </c>
      <c r="J698" s="67">
        <f aca="true" t="shared" si="8" ref="J698:J710">I698/0.75</f>
        <v>120000</v>
      </c>
    </row>
    <row r="699" spans="1:10" ht="45">
      <c r="A699" s="3" t="s">
        <v>563</v>
      </c>
      <c r="B699" s="66">
        <v>2</v>
      </c>
      <c r="C699" s="8">
        <v>3</v>
      </c>
      <c r="D699" s="3" t="s">
        <v>394</v>
      </c>
      <c r="E699" s="3" t="s">
        <v>220</v>
      </c>
      <c r="F699" s="3" t="s">
        <v>605</v>
      </c>
      <c r="G699" s="8" t="s">
        <v>984</v>
      </c>
      <c r="H699" s="8" t="s">
        <v>423</v>
      </c>
      <c r="I699" s="68">
        <v>125000</v>
      </c>
      <c r="J699" s="67">
        <f t="shared" si="8"/>
        <v>166666.66666666666</v>
      </c>
    </row>
    <row r="700" spans="1:10" ht="45">
      <c r="A700" s="3" t="s">
        <v>563</v>
      </c>
      <c r="B700" s="66">
        <v>2</v>
      </c>
      <c r="C700" s="8">
        <v>3</v>
      </c>
      <c r="D700" s="3" t="s">
        <v>394</v>
      </c>
      <c r="E700" s="3" t="s">
        <v>220</v>
      </c>
      <c r="F700" s="4" t="s">
        <v>831</v>
      </c>
      <c r="G700" s="8" t="s">
        <v>983</v>
      </c>
      <c r="H700" s="8" t="s">
        <v>330</v>
      </c>
      <c r="I700" s="68">
        <f>865000-266295.12</f>
        <v>598704.88</v>
      </c>
      <c r="J700" s="67">
        <f t="shared" si="8"/>
        <v>798273.1733333333</v>
      </c>
    </row>
    <row r="701" spans="1:10" ht="45">
      <c r="A701" s="3" t="s">
        <v>563</v>
      </c>
      <c r="B701" s="66">
        <v>2</v>
      </c>
      <c r="C701" s="8">
        <v>3</v>
      </c>
      <c r="D701" s="3" t="s">
        <v>394</v>
      </c>
      <c r="E701" s="3" t="s">
        <v>220</v>
      </c>
      <c r="F701" s="3" t="s">
        <v>366</v>
      </c>
      <c r="G701" s="8" t="s">
        <v>983</v>
      </c>
      <c r="H701" s="8" t="s">
        <v>423</v>
      </c>
      <c r="I701" s="68">
        <v>242451.6</v>
      </c>
      <c r="J701" s="67">
        <f t="shared" si="8"/>
        <v>323268.8</v>
      </c>
    </row>
    <row r="702" spans="1:10" ht="45">
      <c r="A702" s="3" t="s">
        <v>563</v>
      </c>
      <c r="B702" s="66">
        <v>2</v>
      </c>
      <c r="C702" s="8">
        <v>3</v>
      </c>
      <c r="D702" s="3" t="s">
        <v>394</v>
      </c>
      <c r="E702" s="3" t="s">
        <v>220</v>
      </c>
      <c r="F702" s="3" t="s">
        <v>834</v>
      </c>
      <c r="G702" s="8" t="s">
        <v>983</v>
      </c>
      <c r="H702" s="8" t="s">
        <v>423</v>
      </c>
      <c r="I702" s="68">
        <f>207033+266295.12+491250</f>
        <v>964578.12</v>
      </c>
      <c r="J702" s="67">
        <f t="shared" si="8"/>
        <v>1286104.16</v>
      </c>
    </row>
    <row r="703" spans="1:10" ht="45">
      <c r="A703" s="3" t="s">
        <v>563</v>
      </c>
      <c r="B703" s="66">
        <v>2</v>
      </c>
      <c r="C703" s="8">
        <v>3</v>
      </c>
      <c r="D703" s="3" t="s">
        <v>394</v>
      </c>
      <c r="E703" s="3" t="s">
        <v>220</v>
      </c>
      <c r="F703" s="3" t="s">
        <v>284</v>
      </c>
      <c r="G703" s="8" t="s">
        <v>984</v>
      </c>
      <c r="H703" s="8" t="s">
        <v>423</v>
      </c>
      <c r="I703" s="68">
        <f>30000+3654</f>
        <v>33654</v>
      </c>
      <c r="J703" s="67">
        <f t="shared" si="8"/>
        <v>44872</v>
      </c>
    </row>
    <row r="704" spans="1:10" ht="45">
      <c r="A704" s="3" t="s">
        <v>563</v>
      </c>
      <c r="B704" s="66">
        <v>2</v>
      </c>
      <c r="C704" s="8">
        <v>3</v>
      </c>
      <c r="D704" s="3" t="s">
        <v>394</v>
      </c>
      <c r="E704" s="3" t="s">
        <v>220</v>
      </c>
      <c r="F704" s="3" t="s">
        <v>525</v>
      </c>
      <c r="G704" s="8" t="s">
        <v>984</v>
      </c>
      <c r="H704" s="8" t="s">
        <v>423</v>
      </c>
      <c r="I704" s="68">
        <f>75000+37591.5</f>
        <v>112591.5</v>
      </c>
      <c r="J704" s="67">
        <f t="shared" si="8"/>
        <v>150122</v>
      </c>
    </row>
    <row r="705" spans="1:10" ht="45">
      <c r="A705" s="3" t="s">
        <v>563</v>
      </c>
      <c r="B705" s="66">
        <v>2</v>
      </c>
      <c r="C705" s="8">
        <v>3</v>
      </c>
      <c r="D705" s="3" t="s">
        <v>394</v>
      </c>
      <c r="E705" s="3" t="s">
        <v>220</v>
      </c>
      <c r="F705" s="3" t="s">
        <v>395</v>
      </c>
      <c r="G705" s="8" t="s">
        <v>984</v>
      </c>
      <c r="H705" s="8" t="s">
        <v>423</v>
      </c>
      <c r="I705" s="68">
        <f>200000-60595.5</f>
        <v>139404.5</v>
      </c>
      <c r="J705" s="67">
        <f t="shared" si="8"/>
        <v>185872.66666666666</v>
      </c>
    </row>
    <row r="706" spans="1:10" ht="45">
      <c r="A706" s="3" t="s">
        <v>563</v>
      </c>
      <c r="B706" s="66">
        <v>2</v>
      </c>
      <c r="C706" s="8">
        <v>3</v>
      </c>
      <c r="D706" s="3" t="s">
        <v>394</v>
      </c>
      <c r="E706" s="3" t="s">
        <v>220</v>
      </c>
      <c r="F706" s="3" t="s">
        <v>736</v>
      </c>
      <c r="G706" s="8" t="s">
        <v>984</v>
      </c>
      <c r="H706" s="8" t="s">
        <v>423</v>
      </c>
      <c r="I706" s="67">
        <v>35000</v>
      </c>
      <c r="J706" s="67">
        <f t="shared" si="8"/>
        <v>46666.666666666664</v>
      </c>
    </row>
    <row r="707" spans="1:10" ht="45">
      <c r="A707" s="3" t="s">
        <v>563</v>
      </c>
      <c r="B707" s="66">
        <v>2</v>
      </c>
      <c r="C707" s="8">
        <v>3</v>
      </c>
      <c r="D707" s="3" t="s">
        <v>394</v>
      </c>
      <c r="E707" s="3" t="s">
        <v>220</v>
      </c>
      <c r="F707" s="3" t="s">
        <v>526</v>
      </c>
      <c r="G707" s="8" t="s">
        <v>984</v>
      </c>
      <c r="H707" s="8" t="s">
        <v>423</v>
      </c>
      <c r="I707" s="68">
        <f>20000-6450</f>
        <v>13550</v>
      </c>
      <c r="J707" s="67">
        <f t="shared" si="8"/>
        <v>18066.666666666668</v>
      </c>
    </row>
    <row r="708" spans="1:10" ht="45">
      <c r="A708" s="3" t="s">
        <v>563</v>
      </c>
      <c r="B708" s="66">
        <v>2</v>
      </c>
      <c r="C708" s="8">
        <v>3</v>
      </c>
      <c r="D708" s="3" t="s">
        <v>394</v>
      </c>
      <c r="E708" s="3" t="s">
        <v>220</v>
      </c>
      <c r="F708" s="3" t="s">
        <v>658</v>
      </c>
      <c r="G708" s="8" t="s">
        <v>984</v>
      </c>
      <c r="H708" s="8" t="s">
        <v>423</v>
      </c>
      <c r="I708" s="68">
        <f>35000+7500</f>
        <v>42500</v>
      </c>
      <c r="J708" s="67">
        <f t="shared" si="8"/>
        <v>56666.666666666664</v>
      </c>
    </row>
    <row r="709" spans="1:10" ht="45">
      <c r="A709" s="3" t="s">
        <v>563</v>
      </c>
      <c r="B709" s="66">
        <v>2</v>
      </c>
      <c r="C709" s="8">
        <v>3</v>
      </c>
      <c r="D709" s="3" t="s">
        <v>394</v>
      </c>
      <c r="E709" s="3" t="s">
        <v>220</v>
      </c>
      <c r="F709" s="3" t="s">
        <v>655</v>
      </c>
      <c r="G709" s="8" t="s">
        <v>984</v>
      </c>
      <c r="H709" s="8" t="s">
        <v>423</v>
      </c>
      <c r="I709" s="68">
        <v>30000</v>
      </c>
      <c r="J709" s="67">
        <f t="shared" si="8"/>
        <v>40000</v>
      </c>
    </row>
    <row r="710" spans="1:10" ht="45">
      <c r="A710" s="3" t="s">
        <v>563</v>
      </c>
      <c r="B710" s="66">
        <v>2</v>
      </c>
      <c r="C710" s="8">
        <v>3</v>
      </c>
      <c r="D710" s="3" t="s">
        <v>394</v>
      </c>
      <c r="E710" s="3" t="s">
        <v>220</v>
      </c>
      <c r="F710" s="3" t="s">
        <v>396</v>
      </c>
      <c r="G710" s="8" t="s">
        <v>984</v>
      </c>
      <c r="H710" s="8" t="s">
        <v>423</v>
      </c>
      <c r="I710" s="68">
        <f>30000+3300</f>
        <v>33300</v>
      </c>
      <c r="J710" s="67">
        <f t="shared" si="8"/>
        <v>44400</v>
      </c>
    </row>
    <row r="711" spans="1:10" ht="45">
      <c r="A711" s="24" t="s">
        <v>563</v>
      </c>
      <c r="B711" s="6">
        <v>2</v>
      </c>
      <c r="C711" s="6">
        <v>3</v>
      </c>
      <c r="D711" s="7" t="s">
        <v>394</v>
      </c>
      <c r="E711" s="24" t="s">
        <v>220</v>
      </c>
      <c r="F711" s="24"/>
      <c r="G711" s="6"/>
      <c r="H711" s="6"/>
      <c r="I711" s="13">
        <f>SUBTOTAL(9,I698:I710)</f>
        <v>2460734.6</v>
      </c>
      <c r="J711" s="13">
        <f>SUBTOTAL(9,J698:J710)</f>
        <v>3280979.466666666</v>
      </c>
    </row>
    <row r="712" spans="1:10" ht="33.75">
      <c r="A712" s="3" t="s">
        <v>565</v>
      </c>
      <c r="B712" s="66">
        <v>2</v>
      </c>
      <c r="C712" s="8">
        <v>2</v>
      </c>
      <c r="D712" s="3" t="s">
        <v>397</v>
      </c>
      <c r="E712" s="3" t="s">
        <v>735</v>
      </c>
      <c r="F712" s="3" t="s">
        <v>656</v>
      </c>
      <c r="G712" s="8" t="s">
        <v>983</v>
      </c>
      <c r="H712" s="8" t="s">
        <v>423</v>
      </c>
      <c r="I712" s="67">
        <f>64560-35662.5</f>
        <v>28897.5</v>
      </c>
      <c r="J712" s="67">
        <f>I712/0.75</f>
        <v>38530</v>
      </c>
    </row>
    <row r="713" spans="1:10" ht="33.75">
      <c r="A713" s="3" t="s">
        <v>565</v>
      </c>
      <c r="B713" s="66">
        <v>2</v>
      </c>
      <c r="C713" s="8">
        <v>2</v>
      </c>
      <c r="D713" s="3" t="s">
        <v>397</v>
      </c>
      <c r="E713" s="3" t="s">
        <v>735</v>
      </c>
      <c r="F713" s="3" t="s">
        <v>398</v>
      </c>
      <c r="G713" s="8" t="s">
        <v>983</v>
      </c>
      <c r="H713" s="8" t="s">
        <v>423</v>
      </c>
      <c r="I713" s="67">
        <f>71655+35662.5</f>
        <v>107317.5</v>
      </c>
      <c r="J713" s="67">
        <f>I713/0.75</f>
        <v>143090</v>
      </c>
    </row>
    <row r="714" spans="1:10" ht="33.75">
      <c r="A714" s="3" t="s">
        <v>565</v>
      </c>
      <c r="B714" s="66">
        <v>2</v>
      </c>
      <c r="C714" s="8">
        <v>2</v>
      </c>
      <c r="D714" s="3" t="s">
        <v>397</v>
      </c>
      <c r="E714" s="3" t="s">
        <v>735</v>
      </c>
      <c r="F714" s="3" t="s">
        <v>878</v>
      </c>
      <c r="G714" s="8" t="s">
        <v>984</v>
      </c>
      <c r="H714" s="8" t="s">
        <v>423</v>
      </c>
      <c r="I714" s="67">
        <v>194769.16</v>
      </c>
      <c r="J714" s="67">
        <f>I714/0.75</f>
        <v>259692.21333333335</v>
      </c>
    </row>
    <row r="715" spans="1:10" ht="33.75">
      <c r="A715" s="3" t="s">
        <v>565</v>
      </c>
      <c r="B715" s="66">
        <v>2</v>
      </c>
      <c r="C715" s="8">
        <v>2</v>
      </c>
      <c r="D715" s="3" t="s">
        <v>397</v>
      </c>
      <c r="E715" s="3" t="s">
        <v>735</v>
      </c>
      <c r="F715" s="3" t="s">
        <v>400</v>
      </c>
      <c r="G715" s="8" t="s">
        <v>984</v>
      </c>
      <c r="H715" s="8" t="s">
        <v>423</v>
      </c>
      <c r="I715" s="67">
        <v>80000</v>
      </c>
      <c r="J715" s="67">
        <f>I715/0.75</f>
        <v>106666.66666666667</v>
      </c>
    </row>
    <row r="716" spans="1:10" ht="33.75">
      <c r="A716" s="3" t="s">
        <v>565</v>
      </c>
      <c r="B716" s="66">
        <v>2</v>
      </c>
      <c r="C716" s="8">
        <v>2</v>
      </c>
      <c r="D716" s="3" t="s">
        <v>397</v>
      </c>
      <c r="E716" s="3" t="s">
        <v>735</v>
      </c>
      <c r="F716" s="4" t="s">
        <v>414</v>
      </c>
      <c r="G716" s="8" t="s">
        <v>984</v>
      </c>
      <c r="H716" s="8" t="s">
        <v>330</v>
      </c>
      <c r="I716" s="67">
        <v>194769.16</v>
      </c>
      <c r="J716" s="67">
        <f>I716/0.75</f>
        <v>259692.21333333335</v>
      </c>
    </row>
    <row r="717" spans="1:10" ht="33.75">
      <c r="A717" s="24" t="s">
        <v>565</v>
      </c>
      <c r="B717" s="6">
        <v>2</v>
      </c>
      <c r="C717" s="6">
        <v>2</v>
      </c>
      <c r="D717" s="7" t="s">
        <v>397</v>
      </c>
      <c r="E717" s="24" t="s">
        <v>735</v>
      </c>
      <c r="F717" s="24"/>
      <c r="G717" s="6"/>
      <c r="H717" s="6"/>
      <c r="I717" s="13">
        <f>SUBTOTAL(9,I712:I716)</f>
        <v>605753.3200000001</v>
      </c>
      <c r="J717" s="13">
        <f>SUBTOTAL(9,J712:J716)</f>
        <v>807671.0933333334</v>
      </c>
    </row>
    <row r="718" spans="1:10" ht="45">
      <c r="A718" s="3" t="s">
        <v>561</v>
      </c>
      <c r="B718" s="66">
        <v>2</v>
      </c>
      <c r="C718" s="8">
        <v>2</v>
      </c>
      <c r="D718" s="3" t="s">
        <v>401</v>
      </c>
      <c r="E718" s="3" t="s">
        <v>740</v>
      </c>
      <c r="F718" s="3" t="s">
        <v>416</v>
      </c>
      <c r="G718" s="8" t="s">
        <v>983</v>
      </c>
      <c r="H718" s="8" t="s">
        <v>423</v>
      </c>
      <c r="I718" s="67">
        <v>334086.21</v>
      </c>
      <c r="J718" s="67">
        <f aca="true" t="shared" si="9" ref="J718:J726">I718/0.75</f>
        <v>445448.28</v>
      </c>
    </row>
    <row r="719" spans="1:10" ht="45">
      <c r="A719" s="3" t="s">
        <v>561</v>
      </c>
      <c r="B719" s="66">
        <v>2</v>
      </c>
      <c r="C719" s="8">
        <v>2</v>
      </c>
      <c r="D719" s="3" t="s">
        <v>401</v>
      </c>
      <c r="E719" s="3" t="s">
        <v>740</v>
      </c>
      <c r="F719" s="3" t="s">
        <v>850</v>
      </c>
      <c r="G719" s="8" t="s">
        <v>983</v>
      </c>
      <c r="H719" s="8" t="s">
        <v>423</v>
      </c>
      <c r="I719" s="67">
        <v>642037.5</v>
      </c>
      <c r="J719" s="67">
        <f t="shared" si="9"/>
        <v>856050</v>
      </c>
    </row>
    <row r="720" spans="1:10" ht="45">
      <c r="A720" s="3" t="s">
        <v>561</v>
      </c>
      <c r="B720" s="66">
        <v>2</v>
      </c>
      <c r="C720" s="8">
        <v>2</v>
      </c>
      <c r="D720" s="3" t="s">
        <v>401</v>
      </c>
      <c r="E720" s="3" t="s">
        <v>740</v>
      </c>
      <c r="F720" s="3" t="s">
        <v>402</v>
      </c>
      <c r="G720" s="8" t="s">
        <v>983</v>
      </c>
      <c r="H720" s="8" t="s">
        <v>423</v>
      </c>
      <c r="I720" s="67">
        <v>216089.07</v>
      </c>
      <c r="J720" s="67">
        <f t="shared" si="9"/>
        <v>288118.76</v>
      </c>
    </row>
    <row r="721" spans="1:10" ht="45">
      <c r="A721" s="3" t="s">
        <v>561</v>
      </c>
      <c r="B721" s="66">
        <v>2</v>
      </c>
      <c r="C721" s="8">
        <v>2</v>
      </c>
      <c r="D721" s="3" t="s">
        <v>401</v>
      </c>
      <c r="E721" s="3" t="s">
        <v>740</v>
      </c>
      <c r="F721" s="4" t="s">
        <v>403</v>
      </c>
      <c r="G721" s="8" t="s">
        <v>984</v>
      </c>
      <c r="H721" s="8" t="s">
        <v>330</v>
      </c>
      <c r="I721" s="68">
        <f>75000-59913.94</f>
        <v>15086.059999999998</v>
      </c>
      <c r="J721" s="67">
        <f t="shared" si="9"/>
        <v>20114.746666666662</v>
      </c>
    </row>
    <row r="722" spans="1:10" ht="45">
      <c r="A722" s="3" t="s">
        <v>561</v>
      </c>
      <c r="B722" s="66">
        <v>2</v>
      </c>
      <c r="C722" s="8">
        <v>2</v>
      </c>
      <c r="D722" s="3" t="s">
        <v>401</v>
      </c>
      <c r="E722" s="3" t="s">
        <v>740</v>
      </c>
      <c r="F722" s="3" t="s">
        <v>404</v>
      </c>
      <c r="G722" s="8" t="s">
        <v>984</v>
      </c>
      <c r="H722" s="8" t="s">
        <v>423</v>
      </c>
      <c r="I722" s="68">
        <f>160000+82413.94+86256.21</f>
        <v>328670.15</v>
      </c>
      <c r="J722" s="67">
        <f t="shared" si="9"/>
        <v>438226.8666666667</v>
      </c>
    </row>
    <row r="723" spans="1:10" ht="45">
      <c r="A723" s="3" t="s">
        <v>561</v>
      </c>
      <c r="B723" s="66">
        <v>2</v>
      </c>
      <c r="C723" s="8">
        <v>2</v>
      </c>
      <c r="D723" s="3" t="s">
        <v>401</v>
      </c>
      <c r="E723" s="3" t="s">
        <v>740</v>
      </c>
      <c r="F723" s="3" t="s">
        <v>405</v>
      </c>
      <c r="G723" s="8" t="s">
        <v>984</v>
      </c>
      <c r="H723" s="8" t="s">
        <v>423</v>
      </c>
      <c r="I723" s="68">
        <v>150000</v>
      </c>
      <c r="J723" s="67">
        <f t="shared" si="9"/>
        <v>200000</v>
      </c>
    </row>
    <row r="724" spans="1:10" ht="45">
      <c r="A724" s="3" t="s">
        <v>561</v>
      </c>
      <c r="B724" s="66">
        <v>2</v>
      </c>
      <c r="C724" s="8">
        <v>2</v>
      </c>
      <c r="D724" s="3" t="s">
        <v>401</v>
      </c>
      <c r="E724" s="3" t="s">
        <v>740</v>
      </c>
      <c r="F724" s="3" t="s">
        <v>406</v>
      </c>
      <c r="G724" s="8" t="s">
        <v>984</v>
      </c>
      <c r="H724" s="8" t="s">
        <v>423</v>
      </c>
      <c r="I724" s="68">
        <f>22500-22500</f>
        <v>0</v>
      </c>
      <c r="J724" s="67">
        <f t="shared" si="9"/>
        <v>0</v>
      </c>
    </row>
    <row r="725" spans="1:10" ht="45">
      <c r="A725" s="3" t="s">
        <v>561</v>
      </c>
      <c r="B725" s="66">
        <v>2</v>
      </c>
      <c r="C725" s="8">
        <v>2</v>
      </c>
      <c r="D725" s="3" t="s">
        <v>401</v>
      </c>
      <c r="E725" s="3" t="s">
        <v>740</v>
      </c>
      <c r="F725" s="3" t="s">
        <v>407</v>
      </c>
      <c r="G725" s="8" t="s">
        <v>984</v>
      </c>
      <c r="H725" s="8" t="s">
        <v>423</v>
      </c>
      <c r="I725" s="67">
        <v>150000</v>
      </c>
      <c r="J725" s="67">
        <f t="shared" si="9"/>
        <v>200000</v>
      </c>
    </row>
    <row r="726" spans="1:10" ht="45">
      <c r="A726" s="3" t="s">
        <v>561</v>
      </c>
      <c r="B726" s="66">
        <v>2</v>
      </c>
      <c r="C726" s="8">
        <v>2</v>
      </c>
      <c r="D726" s="3" t="s">
        <v>401</v>
      </c>
      <c r="E726" s="3" t="s">
        <v>740</v>
      </c>
      <c r="F726" s="3" t="s">
        <v>408</v>
      </c>
      <c r="G726" s="8" t="s">
        <v>984</v>
      </c>
      <c r="H726" s="8" t="s">
        <v>423</v>
      </c>
      <c r="I726" s="67">
        <f>224948.25-86256.21</f>
        <v>138692.03999999998</v>
      </c>
      <c r="J726" s="67">
        <f t="shared" si="9"/>
        <v>184922.71999999997</v>
      </c>
    </row>
    <row r="727" spans="1:10" ht="45">
      <c r="A727" s="24" t="s">
        <v>561</v>
      </c>
      <c r="B727" s="6">
        <v>2</v>
      </c>
      <c r="C727" s="6">
        <v>2</v>
      </c>
      <c r="D727" s="7" t="s">
        <v>401</v>
      </c>
      <c r="E727" s="24" t="s">
        <v>740</v>
      </c>
      <c r="F727" s="24"/>
      <c r="G727" s="6"/>
      <c r="H727" s="6"/>
      <c r="I727" s="13">
        <f>SUBTOTAL(9,I718:I726)</f>
        <v>1974661.0300000003</v>
      </c>
      <c r="J727" s="13">
        <f>SUBTOTAL(9,J718:J726)</f>
        <v>2632881.373333333</v>
      </c>
    </row>
    <row r="728" spans="1:10" ht="33.75">
      <c r="A728" s="3" t="s">
        <v>562</v>
      </c>
      <c r="B728" s="66">
        <v>2</v>
      </c>
      <c r="C728" s="8">
        <v>2</v>
      </c>
      <c r="D728" s="3" t="s">
        <v>859</v>
      </c>
      <c r="E728" s="3" t="s">
        <v>724</v>
      </c>
      <c r="F728" s="3" t="s">
        <v>606</v>
      </c>
      <c r="G728" s="8" t="s">
        <v>984</v>
      </c>
      <c r="H728" s="8" t="s">
        <v>423</v>
      </c>
      <c r="I728" s="67">
        <v>50000</v>
      </c>
      <c r="J728" s="67">
        <f>I728/0.75</f>
        <v>66666.66666666667</v>
      </c>
    </row>
    <row r="729" spans="1:10" ht="33.75">
      <c r="A729" s="3" t="s">
        <v>562</v>
      </c>
      <c r="B729" s="66">
        <v>2</v>
      </c>
      <c r="C729" s="8">
        <v>2</v>
      </c>
      <c r="D729" s="3" t="s">
        <v>859</v>
      </c>
      <c r="E729" s="3" t="s">
        <v>724</v>
      </c>
      <c r="F729" s="3" t="s">
        <v>725</v>
      </c>
      <c r="G729" s="8" t="s">
        <v>983</v>
      </c>
      <c r="H729" s="8" t="s">
        <v>423</v>
      </c>
      <c r="I729" s="67">
        <v>173700</v>
      </c>
      <c r="J729" s="67">
        <f>I729/0.75</f>
        <v>231600</v>
      </c>
    </row>
    <row r="730" spans="1:10" ht="33.75">
      <c r="A730" s="3" t="s">
        <v>562</v>
      </c>
      <c r="B730" s="66">
        <v>2</v>
      </c>
      <c r="C730" s="8">
        <v>2</v>
      </c>
      <c r="D730" s="3" t="s">
        <v>859</v>
      </c>
      <c r="E730" s="3" t="s">
        <v>724</v>
      </c>
      <c r="F730" s="4" t="s">
        <v>860</v>
      </c>
      <c r="G730" s="8" t="s">
        <v>983</v>
      </c>
      <c r="H730" s="8" t="s">
        <v>330</v>
      </c>
      <c r="I730" s="67">
        <v>160260</v>
      </c>
      <c r="J730" s="67">
        <f>I730/0.75</f>
        <v>213680</v>
      </c>
    </row>
    <row r="731" spans="1:10" ht="33.75">
      <c r="A731" s="24" t="s">
        <v>562</v>
      </c>
      <c r="B731" s="6">
        <v>2</v>
      </c>
      <c r="C731" s="6">
        <v>2</v>
      </c>
      <c r="D731" s="7" t="s">
        <v>859</v>
      </c>
      <c r="E731" s="24" t="s">
        <v>724</v>
      </c>
      <c r="F731" s="24"/>
      <c r="G731" s="6"/>
      <c r="H731" s="6"/>
      <c r="I731" s="13">
        <f>SUBTOTAL(9,I728:I730)</f>
        <v>383960</v>
      </c>
      <c r="J731" s="13">
        <f>SUBTOTAL(9,J728:J730)</f>
        <v>511946.6666666667</v>
      </c>
    </row>
    <row r="732" spans="1:10" ht="22.5">
      <c r="A732" s="3" t="s">
        <v>807</v>
      </c>
      <c r="B732" s="66">
        <v>2</v>
      </c>
      <c r="C732" s="8">
        <v>3</v>
      </c>
      <c r="D732" s="3" t="s">
        <v>861</v>
      </c>
      <c r="E732" s="14" t="s">
        <v>862</v>
      </c>
      <c r="F732" s="4" t="s">
        <v>874</v>
      </c>
      <c r="G732" s="8" t="s">
        <v>983</v>
      </c>
      <c r="H732" s="8" t="s">
        <v>330</v>
      </c>
      <c r="I732" s="67">
        <f>493324.28-678.46</f>
        <v>492645.82</v>
      </c>
      <c r="J732" s="67">
        <f>I732/0.75</f>
        <v>656861.0933333334</v>
      </c>
    </row>
    <row r="733" spans="1:10" ht="22.5">
      <c r="A733" s="3" t="s">
        <v>807</v>
      </c>
      <c r="B733" s="66">
        <v>2</v>
      </c>
      <c r="C733" s="8">
        <v>3</v>
      </c>
      <c r="D733" s="3" t="s">
        <v>861</v>
      </c>
      <c r="E733" s="14" t="s">
        <v>862</v>
      </c>
      <c r="F733" s="3" t="s">
        <v>260</v>
      </c>
      <c r="G733" s="8" t="s">
        <v>983</v>
      </c>
      <c r="H733" s="8" t="s">
        <v>423</v>
      </c>
      <c r="I733" s="67">
        <f>414985.57-364.19</f>
        <v>414621.38</v>
      </c>
      <c r="J733" s="67">
        <f>I733/0.75</f>
        <v>552828.5066666667</v>
      </c>
    </row>
    <row r="734" spans="1:10" ht="22.5">
      <c r="A734" s="3" t="s">
        <v>807</v>
      </c>
      <c r="B734" s="66">
        <v>2</v>
      </c>
      <c r="C734" s="8">
        <v>3</v>
      </c>
      <c r="D734" s="3" t="s">
        <v>861</v>
      </c>
      <c r="E734" s="14" t="s">
        <v>862</v>
      </c>
      <c r="F734" s="3" t="s">
        <v>534</v>
      </c>
      <c r="G734" s="8" t="s">
        <v>984</v>
      </c>
      <c r="H734" s="8" t="s">
        <v>423</v>
      </c>
      <c r="I734" s="67">
        <v>217660.61</v>
      </c>
      <c r="J734" s="67">
        <f>I734/0.75</f>
        <v>290214.14666666667</v>
      </c>
    </row>
    <row r="735" spans="1:10" ht="22.5">
      <c r="A735" s="24" t="s">
        <v>807</v>
      </c>
      <c r="B735" s="6">
        <v>2</v>
      </c>
      <c r="C735" s="6">
        <v>3</v>
      </c>
      <c r="D735" s="7" t="s">
        <v>861</v>
      </c>
      <c r="E735" s="24" t="s">
        <v>862</v>
      </c>
      <c r="F735" s="24"/>
      <c r="G735" s="6"/>
      <c r="H735" s="6"/>
      <c r="I735" s="13">
        <f>SUBTOTAL(9,I732:I734)</f>
        <v>1124927.81</v>
      </c>
      <c r="J735" s="13">
        <f>SUBTOTAL(9,J732:J734)</f>
        <v>1499903.7466666668</v>
      </c>
    </row>
    <row r="736" spans="1:10" ht="22.5">
      <c r="A736" s="3" t="s">
        <v>807</v>
      </c>
      <c r="B736" s="66">
        <v>2</v>
      </c>
      <c r="C736" s="8">
        <v>2</v>
      </c>
      <c r="D736" s="3" t="s">
        <v>305</v>
      </c>
      <c r="E736" s="3" t="s">
        <v>246</v>
      </c>
      <c r="F736" s="3" t="s">
        <v>699</v>
      </c>
      <c r="G736" s="8" t="s">
        <v>983</v>
      </c>
      <c r="H736" s="8" t="s">
        <v>423</v>
      </c>
      <c r="I736" s="67">
        <v>0</v>
      </c>
      <c r="J736" s="67">
        <f aca="true" t="shared" si="10" ref="J736:J743">I736/0.75</f>
        <v>0</v>
      </c>
    </row>
    <row r="737" spans="1:10" ht="22.5">
      <c r="A737" s="3" t="s">
        <v>807</v>
      </c>
      <c r="B737" s="66">
        <v>2</v>
      </c>
      <c r="C737" s="8">
        <v>2</v>
      </c>
      <c r="D737" s="3" t="s">
        <v>305</v>
      </c>
      <c r="E737" s="3" t="s">
        <v>246</v>
      </c>
      <c r="F737" s="3" t="s">
        <v>293</v>
      </c>
      <c r="G737" s="8" t="s">
        <v>983</v>
      </c>
      <c r="H737" s="8" t="s">
        <v>423</v>
      </c>
      <c r="I737" s="67">
        <v>122625</v>
      </c>
      <c r="J737" s="67">
        <f t="shared" si="10"/>
        <v>163500</v>
      </c>
    </row>
    <row r="738" spans="1:10" ht="22.5">
      <c r="A738" s="3" t="s">
        <v>807</v>
      </c>
      <c r="B738" s="66">
        <v>2</v>
      </c>
      <c r="C738" s="8">
        <v>2</v>
      </c>
      <c r="D738" s="3" t="s">
        <v>305</v>
      </c>
      <c r="E738" s="3" t="s">
        <v>246</v>
      </c>
      <c r="F738" s="4" t="s">
        <v>700</v>
      </c>
      <c r="G738" s="8" t="s">
        <v>983</v>
      </c>
      <c r="H738" s="8" t="s">
        <v>330</v>
      </c>
      <c r="I738" s="67">
        <v>552375</v>
      </c>
      <c r="J738" s="67">
        <f t="shared" si="10"/>
        <v>736500</v>
      </c>
    </row>
    <row r="739" spans="1:10" ht="22.5">
      <c r="A739" s="3" t="s">
        <v>807</v>
      </c>
      <c r="B739" s="66">
        <v>2</v>
      </c>
      <c r="C739" s="8">
        <v>2</v>
      </c>
      <c r="D739" s="3" t="s">
        <v>305</v>
      </c>
      <c r="E739" s="3" t="s">
        <v>246</v>
      </c>
      <c r="F739" s="3" t="s">
        <v>701</v>
      </c>
      <c r="G739" s="8" t="s">
        <v>984</v>
      </c>
      <c r="H739" s="8" t="s">
        <v>423</v>
      </c>
      <c r="I739" s="67">
        <v>52500</v>
      </c>
      <c r="J739" s="67">
        <f t="shared" si="10"/>
        <v>70000</v>
      </c>
    </row>
    <row r="740" spans="1:10" ht="22.5">
      <c r="A740" s="3" t="s">
        <v>807</v>
      </c>
      <c r="B740" s="66">
        <v>2</v>
      </c>
      <c r="C740" s="8">
        <v>2</v>
      </c>
      <c r="D740" s="3" t="s">
        <v>305</v>
      </c>
      <c r="E740" s="3" t="s">
        <v>246</v>
      </c>
      <c r="F740" s="3" t="s">
        <v>776</v>
      </c>
      <c r="G740" s="8" t="s">
        <v>984</v>
      </c>
      <c r="H740" s="8" t="s">
        <v>423</v>
      </c>
      <c r="I740" s="67">
        <v>52500</v>
      </c>
      <c r="J740" s="67">
        <f t="shared" si="10"/>
        <v>70000</v>
      </c>
    </row>
    <row r="741" spans="1:10" ht="22.5">
      <c r="A741" s="3" t="s">
        <v>807</v>
      </c>
      <c r="B741" s="66">
        <v>2</v>
      </c>
      <c r="C741" s="8">
        <v>2</v>
      </c>
      <c r="D741" s="3" t="s">
        <v>305</v>
      </c>
      <c r="E741" s="3" t="s">
        <v>246</v>
      </c>
      <c r="F741" s="3" t="s">
        <v>775</v>
      </c>
      <c r="G741" s="8" t="s">
        <v>984</v>
      </c>
      <c r="H741" s="8" t="s">
        <v>423</v>
      </c>
      <c r="I741" s="67">
        <v>52500</v>
      </c>
      <c r="J741" s="67">
        <f t="shared" si="10"/>
        <v>70000</v>
      </c>
    </row>
    <row r="742" spans="1:10" ht="33.75">
      <c r="A742" s="3" t="s">
        <v>807</v>
      </c>
      <c r="B742" s="66">
        <v>2</v>
      </c>
      <c r="C742" s="8">
        <v>2</v>
      </c>
      <c r="D742" s="3" t="s">
        <v>305</v>
      </c>
      <c r="E742" s="3" t="s">
        <v>246</v>
      </c>
      <c r="F742" s="3" t="s">
        <v>720</v>
      </c>
      <c r="G742" s="8" t="s">
        <v>983</v>
      </c>
      <c r="H742" s="8" t="s">
        <v>423</v>
      </c>
      <c r="I742" s="67">
        <v>435975</v>
      </c>
      <c r="J742" s="67">
        <f t="shared" si="10"/>
        <v>581300</v>
      </c>
    </row>
    <row r="743" spans="1:10" ht="22.5">
      <c r="A743" s="3" t="s">
        <v>807</v>
      </c>
      <c r="B743" s="66">
        <v>2</v>
      </c>
      <c r="C743" s="8">
        <v>2</v>
      </c>
      <c r="D743" s="3" t="s">
        <v>305</v>
      </c>
      <c r="E743" s="3" t="s">
        <v>246</v>
      </c>
      <c r="F743" s="3" t="s">
        <v>702</v>
      </c>
      <c r="G743" s="8" t="s">
        <v>984</v>
      </c>
      <c r="H743" s="8" t="s">
        <v>423</v>
      </c>
      <c r="I743" s="67">
        <v>144375</v>
      </c>
      <c r="J743" s="67">
        <f t="shared" si="10"/>
        <v>192500</v>
      </c>
    </row>
    <row r="744" spans="1:10" ht="22.5">
      <c r="A744" s="24" t="s">
        <v>807</v>
      </c>
      <c r="B744" s="6">
        <v>2</v>
      </c>
      <c r="C744" s="6">
        <v>2</v>
      </c>
      <c r="D744" s="7" t="s">
        <v>305</v>
      </c>
      <c r="E744" s="24" t="s">
        <v>246</v>
      </c>
      <c r="F744" s="24"/>
      <c r="G744" s="6"/>
      <c r="H744" s="6"/>
      <c r="I744" s="13">
        <f>SUBTOTAL(9,I736:I743)</f>
        <v>1412850</v>
      </c>
      <c r="J744" s="13">
        <f>SUBTOTAL(9,J736:J743)</f>
        <v>1883800</v>
      </c>
    </row>
    <row r="745" spans="1:10" ht="33.75">
      <c r="A745" s="3" t="s">
        <v>807</v>
      </c>
      <c r="B745" s="66">
        <v>2</v>
      </c>
      <c r="C745" s="8">
        <v>1</v>
      </c>
      <c r="D745" s="3" t="s">
        <v>703</v>
      </c>
      <c r="E745" s="3" t="s">
        <v>479</v>
      </c>
      <c r="F745" s="4" t="s">
        <v>480</v>
      </c>
      <c r="G745" s="8" t="s">
        <v>983</v>
      </c>
      <c r="H745" s="8" t="s">
        <v>330</v>
      </c>
      <c r="I745" s="68">
        <f>290191.88+157500</f>
        <v>447691.88</v>
      </c>
      <c r="J745" s="67">
        <f>I745/0.75</f>
        <v>596922.5066666667</v>
      </c>
    </row>
    <row r="746" spans="1:10" ht="33.75">
      <c r="A746" s="3" t="s">
        <v>807</v>
      </c>
      <c r="B746" s="66">
        <v>2</v>
      </c>
      <c r="C746" s="8">
        <v>1</v>
      </c>
      <c r="D746" s="3" t="s">
        <v>703</v>
      </c>
      <c r="E746" s="3" t="s">
        <v>479</v>
      </c>
      <c r="F746" s="3" t="s">
        <v>704</v>
      </c>
      <c r="G746" s="8" t="s">
        <v>983</v>
      </c>
      <c r="H746" s="8" t="s">
        <v>423</v>
      </c>
      <c r="I746" s="68">
        <f>208740+82275</f>
        <v>291015</v>
      </c>
      <c r="J746" s="67">
        <f>I746/0.75</f>
        <v>388020</v>
      </c>
    </row>
    <row r="747" spans="1:10" ht="33.75">
      <c r="A747" s="3" t="s">
        <v>807</v>
      </c>
      <c r="B747" s="66">
        <v>2</v>
      </c>
      <c r="C747" s="8">
        <v>1</v>
      </c>
      <c r="D747" s="3" t="s">
        <v>703</v>
      </c>
      <c r="E747" s="3" t="s">
        <v>479</v>
      </c>
      <c r="F747" s="3" t="s">
        <v>705</v>
      </c>
      <c r="G747" s="8" t="s">
        <v>983</v>
      </c>
      <c r="H747" s="8" t="s">
        <v>423</v>
      </c>
      <c r="I747" s="68">
        <f>114162.3+23406</f>
        <v>137568.3</v>
      </c>
      <c r="J747" s="67">
        <f>I747/0.75</f>
        <v>183424.4</v>
      </c>
    </row>
    <row r="748" spans="1:10" ht="33.75">
      <c r="A748" s="3" t="s">
        <v>807</v>
      </c>
      <c r="B748" s="66">
        <v>2</v>
      </c>
      <c r="C748" s="8">
        <v>1</v>
      </c>
      <c r="D748" s="3" t="s">
        <v>703</v>
      </c>
      <c r="E748" s="3" t="s">
        <v>479</v>
      </c>
      <c r="F748" s="3" t="s">
        <v>706</v>
      </c>
      <c r="G748" s="8" t="s">
        <v>984</v>
      </c>
      <c r="H748" s="8" t="s">
        <v>423</v>
      </c>
      <c r="I748" s="68">
        <v>65000</v>
      </c>
      <c r="J748" s="67">
        <f>I748/0.75</f>
        <v>86666.66666666667</v>
      </c>
    </row>
    <row r="749" spans="1:10" ht="33.75">
      <c r="A749" s="3" t="s">
        <v>807</v>
      </c>
      <c r="B749" s="66">
        <v>2</v>
      </c>
      <c r="C749" s="8">
        <v>1</v>
      </c>
      <c r="D749" s="3" t="s">
        <v>703</v>
      </c>
      <c r="E749" s="3" t="s">
        <v>479</v>
      </c>
      <c r="F749" s="3" t="s">
        <v>253</v>
      </c>
      <c r="G749" s="8" t="s">
        <v>984</v>
      </c>
      <c r="H749" s="8" t="s">
        <v>423</v>
      </c>
      <c r="I749" s="68">
        <f>140000+48000</f>
        <v>188000</v>
      </c>
      <c r="J749" s="67">
        <f>I749/0.75</f>
        <v>250666.66666666666</v>
      </c>
    </row>
    <row r="750" spans="1:10" ht="33.75">
      <c r="A750" s="24" t="s">
        <v>807</v>
      </c>
      <c r="B750" s="6">
        <v>2</v>
      </c>
      <c r="C750" s="6">
        <v>1</v>
      </c>
      <c r="D750" s="7" t="s">
        <v>703</v>
      </c>
      <c r="E750" s="24" t="s">
        <v>479</v>
      </c>
      <c r="F750" s="24"/>
      <c r="G750" s="6"/>
      <c r="H750" s="6"/>
      <c r="I750" s="13">
        <f>SUBTOTAL(9,I745:I749)</f>
        <v>1129275.18</v>
      </c>
      <c r="J750" s="13">
        <f>SUBTOTAL(9,J745:J749)</f>
        <v>1505700.2400000002</v>
      </c>
    </row>
    <row r="751" spans="1:10" ht="33.75">
      <c r="A751" s="3" t="s">
        <v>564</v>
      </c>
      <c r="B751" s="66">
        <v>2</v>
      </c>
      <c r="C751" s="8">
        <v>2</v>
      </c>
      <c r="D751" s="3" t="s">
        <v>790</v>
      </c>
      <c r="E751" s="3" t="s">
        <v>221</v>
      </c>
      <c r="F751" s="4" t="s">
        <v>791</v>
      </c>
      <c r="G751" s="8" t="s">
        <v>983</v>
      </c>
      <c r="H751" s="8" t="s">
        <v>330</v>
      </c>
      <c r="I751" s="67">
        <v>537658.5</v>
      </c>
      <c r="J751" s="67">
        <f>I751/0.75</f>
        <v>716878</v>
      </c>
    </row>
    <row r="752" spans="1:10" ht="33.75">
      <c r="A752" s="3" t="s">
        <v>564</v>
      </c>
      <c r="B752" s="66">
        <v>2</v>
      </c>
      <c r="C752" s="8">
        <v>2</v>
      </c>
      <c r="D752" s="3" t="s">
        <v>790</v>
      </c>
      <c r="E752" s="3" t="s">
        <v>221</v>
      </c>
      <c r="F752" s="3" t="s">
        <v>792</v>
      </c>
      <c r="G752" s="8" t="s">
        <v>984</v>
      </c>
      <c r="H752" s="8" t="s">
        <v>423</v>
      </c>
      <c r="I752" s="67">
        <v>200185.1</v>
      </c>
      <c r="J752" s="67">
        <f>I752/0.75</f>
        <v>266913.4666666667</v>
      </c>
    </row>
    <row r="753" spans="1:10" ht="33.75">
      <c r="A753" s="3" t="s">
        <v>564</v>
      </c>
      <c r="B753" s="66">
        <v>2</v>
      </c>
      <c r="C753" s="8">
        <v>2</v>
      </c>
      <c r="D753" s="3" t="s">
        <v>790</v>
      </c>
      <c r="E753" s="3" t="s">
        <v>221</v>
      </c>
      <c r="F753" s="3" t="s">
        <v>793</v>
      </c>
      <c r="G753" s="8" t="s">
        <v>983</v>
      </c>
      <c r="H753" s="8" t="s">
        <v>423</v>
      </c>
      <c r="I753" s="67">
        <v>101362.5</v>
      </c>
      <c r="J753" s="67">
        <f>I753/0.75</f>
        <v>135150</v>
      </c>
    </row>
    <row r="754" spans="1:10" ht="33.75">
      <c r="A754" s="24" t="s">
        <v>564</v>
      </c>
      <c r="B754" s="6">
        <v>2</v>
      </c>
      <c r="C754" s="6">
        <v>2</v>
      </c>
      <c r="D754" s="7" t="s">
        <v>790</v>
      </c>
      <c r="E754" s="24" t="s">
        <v>221</v>
      </c>
      <c r="F754" s="24"/>
      <c r="G754" s="6"/>
      <c r="H754" s="6"/>
      <c r="I754" s="13">
        <f>SUBTOTAL(9,I751:I753)</f>
        <v>839206.1</v>
      </c>
      <c r="J754" s="13">
        <f>SUBTOTAL(9,J751:J753)</f>
        <v>1118941.4666666668</v>
      </c>
    </row>
    <row r="755" spans="1:10" ht="33.75">
      <c r="A755" s="3" t="s">
        <v>561</v>
      </c>
      <c r="B755" s="66">
        <v>2</v>
      </c>
      <c r="C755" s="8">
        <v>1</v>
      </c>
      <c r="D755" s="3" t="s">
        <v>296</v>
      </c>
      <c r="E755" s="3" t="s">
        <v>228</v>
      </c>
      <c r="F755" s="4" t="s">
        <v>402</v>
      </c>
      <c r="G755" s="8" t="s">
        <v>983</v>
      </c>
      <c r="H755" s="8" t="s">
        <v>330</v>
      </c>
      <c r="I755" s="67">
        <v>308250</v>
      </c>
      <c r="J755" s="67">
        <f>I755/0.75</f>
        <v>411000</v>
      </c>
    </row>
    <row r="756" spans="1:10" ht="33.75">
      <c r="A756" s="3" t="s">
        <v>561</v>
      </c>
      <c r="B756" s="66">
        <v>2</v>
      </c>
      <c r="C756" s="8">
        <v>1</v>
      </c>
      <c r="D756" s="3" t="s">
        <v>296</v>
      </c>
      <c r="E756" s="3" t="s">
        <v>228</v>
      </c>
      <c r="F756" s="3" t="s">
        <v>404</v>
      </c>
      <c r="G756" s="8" t="s">
        <v>984</v>
      </c>
      <c r="H756" s="8" t="s">
        <v>423</v>
      </c>
      <c r="I756" s="67">
        <v>79500</v>
      </c>
      <c r="J756" s="67">
        <f>I756/0.75</f>
        <v>106000</v>
      </c>
    </row>
    <row r="757" spans="1:10" ht="33.75">
      <c r="A757" s="3" t="s">
        <v>561</v>
      </c>
      <c r="B757" s="66">
        <v>2</v>
      </c>
      <c r="C757" s="8">
        <v>1</v>
      </c>
      <c r="D757" s="3" t="s">
        <v>296</v>
      </c>
      <c r="E757" s="3" t="s">
        <v>228</v>
      </c>
      <c r="F757" s="3" t="s">
        <v>297</v>
      </c>
      <c r="G757" s="8" t="s">
        <v>984</v>
      </c>
      <c r="H757" s="8" t="s">
        <v>423</v>
      </c>
      <c r="I757" s="67">
        <v>79500</v>
      </c>
      <c r="J757" s="67">
        <f>I757/0.75</f>
        <v>106000</v>
      </c>
    </row>
    <row r="758" spans="1:10" ht="33.75">
      <c r="A758" s="3" t="s">
        <v>561</v>
      </c>
      <c r="B758" s="66">
        <v>2</v>
      </c>
      <c r="C758" s="8">
        <v>1</v>
      </c>
      <c r="D758" s="3" t="s">
        <v>296</v>
      </c>
      <c r="E758" s="3" t="s">
        <v>228</v>
      </c>
      <c r="F758" s="3" t="s">
        <v>407</v>
      </c>
      <c r="G758" s="8" t="s">
        <v>984</v>
      </c>
      <c r="H758" s="8" t="s">
        <v>423</v>
      </c>
      <c r="I758" s="67">
        <v>79500</v>
      </c>
      <c r="J758" s="67">
        <f>I758/0.75</f>
        <v>106000</v>
      </c>
    </row>
    <row r="759" spans="1:10" ht="33.75">
      <c r="A759" s="3" t="s">
        <v>561</v>
      </c>
      <c r="B759" s="66">
        <v>2</v>
      </c>
      <c r="C759" s="8">
        <v>1</v>
      </c>
      <c r="D759" s="3" t="s">
        <v>296</v>
      </c>
      <c r="E759" s="3" t="s">
        <v>228</v>
      </c>
      <c r="F759" s="3" t="s">
        <v>298</v>
      </c>
      <c r="G759" s="8" t="s">
        <v>984</v>
      </c>
      <c r="H759" s="8" t="s">
        <v>423</v>
      </c>
      <c r="I759" s="67">
        <v>79500</v>
      </c>
      <c r="J759" s="67">
        <f>I759/0.75</f>
        <v>106000</v>
      </c>
    </row>
    <row r="760" spans="1:10" ht="33.75">
      <c r="A760" s="24" t="s">
        <v>561</v>
      </c>
      <c r="B760" s="6">
        <v>2</v>
      </c>
      <c r="C760" s="6">
        <v>1</v>
      </c>
      <c r="D760" s="7" t="s">
        <v>296</v>
      </c>
      <c r="E760" s="24" t="s">
        <v>228</v>
      </c>
      <c r="F760" s="24"/>
      <c r="G760" s="6"/>
      <c r="H760" s="6"/>
      <c r="I760" s="13">
        <f>SUBTOTAL(9,I755:I759)</f>
        <v>626250</v>
      </c>
      <c r="J760" s="13">
        <f>SUBTOTAL(9,J755:J759)</f>
        <v>835000</v>
      </c>
    </row>
    <row r="761" spans="1:10" ht="33.75">
      <c r="A761" s="3" t="s">
        <v>564</v>
      </c>
      <c r="B761" s="66">
        <v>2</v>
      </c>
      <c r="C761" s="8">
        <v>1</v>
      </c>
      <c r="D761" s="3" t="s">
        <v>277</v>
      </c>
      <c r="E761" s="3" t="s">
        <v>229</v>
      </c>
      <c r="F761" s="3" t="s">
        <v>275</v>
      </c>
      <c r="G761" s="8" t="s">
        <v>984</v>
      </c>
      <c r="H761" s="8" t="s">
        <v>423</v>
      </c>
      <c r="I761" s="67">
        <v>99900</v>
      </c>
      <c r="J761" s="67">
        <f aca="true" t="shared" si="11" ref="J761:J767">I761/0.75</f>
        <v>133200</v>
      </c>
    </row>
    <row r="762" spans="1:10" ht="33.75">
      <c r="A762" s="3" t="s">
        <v>564</v>
      </c>
      <c r="B762" s="66">
        <v>2</v>
      </c>
      <c r="C762" s="8">
        <v>1</v>
      </c>
      <c r="D762" s="3" t="s">
        <v>277</v>
      </c>
      <c r="E762" s="3" t="s">
        <v>229</v>
      </c>
      <c r="F762" s="3" t="s">
        <v>524</v>
      </c>
      <c r="G762" s="8" t="s">
        <v>984</v>
      </c>
      <c r="H762" s="8" t="s">
        <v>423</v>
      </c>
      <c r="I762" s="67">
        <v>75000</v>
      </c>
      <c r="J762" s="67">
        <f t="shared" si="11"/>
        <v>100000</v>
      </c>
    </row>
    <row r="763" spans="1:10" ht="33.75">
      <c r="A763" s="3" t="s">
        <v>564</v>
      </c>
      <c r="B763" s="66">
        <v>2</v>
      </c>
      <c r="C763" s="8">
        <v>1</v>
      </c>
      <c r="D763" s="3" t="s">
        <v>277</v>
      </c>
      <c r="E763" s="3" t="s">
        <v>229</v>
      </c>
      <c r="F763" s="3" t="s">
        <v>687</v>
      </c>
      <c r="G763" s="8" t="s">
        <v>984</v>
      </c>
      <c r="H763" s="8" t="s">
        <v>423</v>
      </c>
      <c r="I763" s="67">
        <v>85000</v>
      </c>
      <c r="J763" s="67">
        <f t="shared" si="11"/>
        <v>113333.33333333333</v>
      </c>
    </row>
    <row r="764" spans="1:10" ht="33.75">
      <c r="A764" s="3" t="s">
        <v>564</v>
      </c>
      <c r="B764" s="66">
        <v>2</v>
      </c>
      <c r="C764" s="8">
        <v>1</v>
      </c>
      <c r="D764" s="3" t="s">
        <v>277</v>
      </c>
      <c r="E764" s="3" t="s">
        <v>229</v>
      </c>
      <c r="F764" s="3" t="s">
        <v>278</v>
      </c>
      <c r="G764" s="8" t="s">
        <v>983</v>
      </c>
      <c r="H764" s="8" t="s">
        <v>423</v>
      </c>
      <c r="I764" s="67">
        <v>49642.5</v>
      </c>
      <c r="J764" s="67">
        <f t="shared" si="11"/>
        <v>66190</v>
      </c>
    </row>
    <row r="765" spans="1:10" ht="33.75">
      <c r="A765" s="3" t="s">
        <v>564</v>
      </c>
      <c r="B765" s="66">
        <v>2</v>
      </c>
      <c r="C765" s="8">
        <v>1</v>
      </c>
      <c r="D765" s="3" t="s">
        <v>277</v>
      </c>
      <c r="E765" s="3" t="s">
        <v>229</v>
      </c>
      <c r="F765" s="3" t="s">
        <v>688</v>
      </c>
      <c r="G765" s="8" t="s">
        <v>983</v>
      </c>
      <c r="H765" s="8" t="s">
        <v>423</v>
      </c>
      <c r="I765" s="67">
        <v>45000</v>
      </c>
      <c r="J765" s="67">
        <f t="shared" si="11"/>
        <v>60000</v>
      </c>
    </row>
    <row r="766" spans="1:10" ht="33.75">
      <c r="A766" s="3" t="s">
        <v>564</v>
      </c>
      <c r="B766" s="66">
        <v>2</v>
      </c>
      <c r="C766" s="8">
        <v>1</v>
      </c>
      <c r="D766" s="3" t="s">
        <v>277</v>
      </c>
      <c r="E766" s="3" t="s">
        <v>229</v>
      </c>
      <c r="F766" s="3" t="s">
        <v>371</v>
      </c>
      <c r="G766" s="8" t="s">
        <v>983</v>
      </c>
      <c r="H766" s="8" t="s">
        <v>423</v>
      </c>
      <c r="I766" s="67">
        <v>45000</v>
      </c>
      <c r="J766" s="67">
        <f t="shared" si="11"/>
        <v>60000</v>
      </c>
    </row>
    <row r="767" spans="1:10" ht="33.75">
      <c r="A767" s="3" t="s">
        <v>564</v>
      </c>
      <c r="B767" s="66">
        <v>2</v>
      </c>
      <c r="C767" s="8">
        <v>1</v>
      </c>
      <c r="D767" s="3" t="s">
        <v>277</v>
      </c>
      <c r="E767" s="3" t="s">
        <v>229</v>
      </c>
      <c r="F767" s="4" t="s">
        <v>372</v>
      </c>
      <c r="G767" s="8" t="s">
        <v>983</v>
      </c>
      <c r="H767" s="8" t="s">
        <v>330</v>
      </c>
      <c r="I767" s="67">
        <v>401723.04</v>
      </c>
      <c r="J767" s="67">
        <f t="shared" si="11"/>
        <v>535630.72</v>
      </c>
    </row>
    <row r="768" spans="1:10" ht="33.75">
      <c r="A768" s="24" t="s">
        <v>564</v>
      </c>
      <c r="B768" s="6">
        <v>2</v>
      </c>
      <c r="C768" s="6">
        <v>1</v>
      </c>
      <c r="D768" s="7" t="s">
        <v>277</v>
      </c>
      <c r="E768" s="24" t="s">
        <v>229</v>
      </c>
      <c r="F768" s="24"/>
      <c r="G768" s="6"/>
      <c r="H768" s="6"/>
      <c r="I768" s="13">
        <f>SUBTOTAL(9,I761:I767)</f>
        <v>801265.54</v>
      </c>
      <c r="J768" s="13">
        <f>SUBTOTAL(9,J761:J767)</f>
        <v>1068354.0533333332</v>
      </c>
    </row>
    <row r="769" spans="1:10" ht="45">
      <c r="A769" s="3" t="s">
        <v>564</v>
      </c>
      <c r="B769" s="66">
        <v>2</v>
      </c>
      <c r="C769" s="8">
        <v>1</v>
      </c>
      <c r="D769" s="3" t="s">
        <v>373</v>
      </c>
      <c r="E769" s="3" t="s">
        <v>235</v>
      </c>
      <c r="F769" s="3" t="s">
        <v>275</v>
      </c>
      <c r="G769" s="8" t="s">
        <v>984</v>
      </c>
      <c r="H769" s="8" t="s">
        <v>423</v>
      </c>
      <c r="I769" s="67">
        <v>50000</v>
      </c>
      <c r="J769" s="67">
        <f>I769/0.75</f>
        <v>66666.66666666667</v>
      </c>
    </row>
    <row r="770" spans="1:10" ht="45">
      <c r="A770" s="3" t="s">
        <v>564</v>
      </c>
      <c r="B770" s="66">
        <v>2</v>
      </c>
      <c r="C770" s="8">
        <v>1</v>
      </c>
      <c r="D770" s="3" t="s">
        <v>373</v>
      </c>
      <c r="E770" s="3" t="s">
        <v>235</v>
      </c>
      <c r="F770" s="3" t="s">
        <v>886</v>
      </c>
      <c r="G770" s="8" t="s">
        <v>984</v>
      </c>
      <c r="H770" s="8" t="s">
        <v>423</v>
      </c>
      <c r="I770" s="67">
        <v>199835.12</v>
      </c>
      <c r="J770" s="67">
        <f>I770/0.75</f>
        <v>266446.82666666666</v>
      </c>
    </row>
    <row r="771" spans="1:10" ht="45">
      <c r="A771" s="3" t="s">
        <v>564</v>
      </c>
      <c r="B771" s="66">
        <v>2</v>
      </c>
      <c r="C771" s="8">
        <v>1</v>
      </c>
      <c r="D771" s="3" t="s">
        <v>373</v>
      </c>
      <c r="E771" s="3" t="s">
        <v>235</v>
      </c>
      <c r="F771" s="4" t="s">
        <v>645</v>
      </c>
      <c r="G771" s="8" t="s">
        <v>983</v>
      </c>
      <c r="H771" s="8" t="s">
        <v>330</v>
      </c>
      <c r="I771" s="67">
        <v>392359.4</v>
      </c>
      <c r="J771" s="67">
        <f>I771/0.75</f>
        <v>523145.8666666667</v>
      </c>
    </row>
    <row r="772" spans="1:10" ht="45">
      <c r="A772" s="24" t="s">
        <v>564</v>
      </c>
      <c r="B772" s="6">
        <v>2</v>
      </c>
      <c r="C772" s="6">
        <v>1</v>
      </c>
      <c r="D772" s="7" t="s">
        <v>373</v>
      </c>
      <c r="E772" s="24" t="s">
        <v>235</v>
      </c>
      <c r="F772" s="24"/>
      <c r="G772" s="6"/>
      <c r="H772" s="6"/>
      <c r="I772" s="13">
        <f>SUBTOTAL(9,I769:I771)</f>
        <v>642194.52</v>
      </c>
      <c r="J772" s="13">
        <f>SUBTOTAL(9,J769:J771)</f>
        <v>856259.3600000001</v>
      </c>
    </row>
    <row r="773" spans="1:10" ht="33.75">
      <c r="A773" s="3" t="s">
        <v>561</v>
      </c>
      <c r="B773" s="66">
        <v>2</v>
      </c>
      <c r="C773" s="8">
        <v>2</v>
      </c>
      <c r="D773" s="3" t="s">
        <v>522</v>
      </c>
      <c r="E773" s="3" t="s">
        <v>808</v>
      </c>
      <c r="F773" s="4" t="s">
        <v>646</v>
      </c>
      <c r="G773" s="8" t="s">
        <v>983</v>
      </c>
      <c r="H773" s="8" t="s">
        <v>330</v>
      </c>
      <c r="I773" s="67">
        <v>657599.95</v>
      </c>
      <c r="J773" s="67">
        <f>I773/0.75</f>
        <v>876799.9333333332</v>
      </c>
    </row>
    <row r="774" spans="1:10" ht="33.75">
      <c r="A774" s="3" t="s">
        <v>561</v>
      </c>
      <c r="B774" s="66">
        <v>2</v>
      </c>
      <c r="C774" s="8">
        <v>2</v>
      </c>
      <c r="D774" s="3" t="s">
        <v>522</v>
      </c>
      <c r="E774" s="3" t="s">
        <v>808</v>
      </c>
      <c r="F774" s="3" t="s">
        <v>329</v>
      </c>
      <c r="G774" s="8" t="s">
        <v>984</v>
      </c>
      <c r="H774" s="8" t="s">
        <v>423</v>
      </c>
      <c r="I774" s="67">
        <v>150000</v>
      </c>
      <c r="J774" s="67">
        <f>I774/0.75</f>
        <v>200000</v>
      </c>
    </row>
    <row r="775" spans="1:10" ht="33.75">
      <c r="A775" s="24" t="s">
        <v>561</v>
      </c>
      <c r="B775" s="6">
        <v>2</v>
      </c>
      <c r="C775" s="6">
        <v>2</v>
      </c>
      <c r="D775" s="7" t="s">
        <v>522</v>
      </c>
      <c r="E775" s="24" t="s">
        <v>808</v>
      </c>
      <c r="F775" s="24"/>
      <c r="G775" s="6"/>
      <c r="H775" s="6"/>
      <c r="I775" s="13">
        <f>SUBTOTAL(9,I773:I774)</f>
        <v>807599.95</v>
      </c>
      <c r="J775" s="13">
        <f>SUBTOTAL(9,J773:J774)</f>
        <v>1076799.933333333</v>
      </c>
    </row>
    <row r="776" spans="1:10" ht="45">
      <c r="A776" s="3" t="s">
        <v>564</v>
      </c>
      <c r="B776" s="66">
        <v>2</v>
      </c>
      <c r="C776" s="8">
        <v>2</v>
      </c>
      <c r="D776" s="3" t="s">
        <v>809</v>
      </c>
      <c r="E776" s="3" t="s">
        <v>215</v>
      </c>
      <c r="F776" s="3" t="s">
        <v>683</v>
      </c>
      <c r="G776" s="8" t="s">
        <v>984</v>
      </c>
      <c r="H776" s="8" t="s">
        <v>423</v>
      </c>
      <c r="I776" s="67">
        <f>30000-1966.88</f>
        <v>28033.12</v>
      </c>
      <c r="J776" s="67">
        <f aca="true" t="shared" si="12" ref="J776:J784">I776/0.75</f>
        <v>37377.49333333333</v>
      </c>
    </row>
    <row r="777" spans="1:10" ht="45">
      <c r="A777" s="3" t="s">
        <v>564</v>
      </c>
      <c r="B777" s="66">
        <v>2</v>
      </c>
      <c r="C777" s="8">
        <v>2</v>
      </c>
      <c r="D777" s="3" t="s">
        <v>809</v>
      </c>
      <c r="E777" s="3" t="s">
        <v>215</v>
      </c>
      <c r="F777" s="3" t="s">
        <v>1012</v>
      </c>
      <c r="G777" s="8" t="s">
        <v>984</v>
      </c>
      <c r="H777" s="8" t="s">
        <v>423</v>
      </c>
      <c r="I777" s="67">
        <f>34999.5-18026.63</f>
        <v>16972.87</v>
      </c>
      <c r="J777" s="67">
        <f t="shared" si="12"/>
        <v>22630.493333333332</v>
      </c>
    </row>
    <row r="778" spans="1:10" ht="45">
      <c r="A778" s="3" t="s">
        <v>564</v>
      </c>
      <c r="B778" s="66">
        <v>2</v>
      </c>
      <c r="C778" s="8">
        <v>2</v>
      </c>
      <c r="D778" s="3" t="s">
        <v>809</v>
      </c>
      <c r="E778" s="3" t="s">
        <v>215</v>
      </c>
      <c r="F778" s="3" t="s">
        <v>811</v>
      </c>
      <c r="G778" s="8" t="s">
        <v>983</v>
      </c>
      <c r="H778" s="8" t="s">
        <v>423</v>
      </c>
      <c r="I778" s="67">
        <f>42298.13-42298.13</f>
        <v>0</v>
      </c>
      <c r="J778" s="67">
        <f t="shared" si="12"/>
        <v>0</v>
      </c>
    </row>
    <row r="779" spans="1:10" ht="45">
      <c r="A779" s="3" t="s">
        <v>564</v>
      </c>
      <c r="B779" s="66">
        <v>2</v>
      </c>
      <c r="C779" s="8">
        <v>2</v>
      </c>
      <c r="D779" s="3" t="s">
        <v>809</v>
      </c>
      <c r="E779" s="3" t="s">
        <v>215</v>
      </c>
      <c r="F779" s="3" t="s">
        <v>812</v>
      </c>
      <c r="G779" s="8" t="s">
        <v>983</v>
      </c>
      <c r="H779" s="8" t="s">
        <v>423</v>
      </c>
      <c r="I779" s="67">
        <f>42298.13-42298.13</f>
        <v>0</v>
      </c>
      <c r="J779" s="67">
        <f t="shared" si="12"/>
        <v>0</v>
      </c>
    </row>
    <row r="780" spans="1:10" ht="45">
      <c r="A780" s="3" t="s">
        <v>564</v>
      </c>
      <c r="B780" s="66">
        <v>2</v>
      </c>
      <c r="C780" s="8">
        <v>2</v>
      </c>
      <c r="D780" s="3" t="s">
        <v>809</v>
      </c>
      <c r="E780" s="3" t="s">
        <v>215</v>
      </c>
      <c r="F780" s="3" t="s">
        <v>868</v>
      </c>
      <c r="G780" s="8" t="s">
        <v>983</v>
      </c>
      <c r="H780" s="8" t="s">
        <v>423</v>
      </c>
      <c r="I780" s="67">
        <v>43423.13</v>
      </c>
      <c r="J780" s="67">
        <f t="shared" si="12"/>
        <v>57897.50666666666</v>
      </c>
    </row>
    <row r="781" spans="1:10" ht="45">
      <c r="A781" s="3" t="s">
        <v>564</v>
      </c>
      <c r="B781" s="66">
        <v>2</v>
      </c>
      <c r="C781" s="8">
        <v>2</v>
      </c>
      <c r="D781" s="3" t="s">
        <v>809</v>
      </c>
      <c r="E781" s="3" t="s">
        <v>215</v>
      </c>
      <c r="F781" s="3" t="s">
        <v>813</v>
      </c>
      <c r="G781" s="8" t="s">
        <v>984</v>
      </c>
      <c r="H781" s="8" t="s">
        <v>423</v>
      </c>
      <c r="I781" s="67">
        <f>30000-30000</f>
        <v>0</v>
      </c>
      <c r="J781" s="67">
        <f t="shared" si="12"/>
        <v>0</v>
      </c>
    </row>
    <row r="782" spans="1:10" ht="45">
      <c r="A782" s="3" t="s">
        <v>564</v>
      </c>
      <c r="B782" s="66">
        <v>2</v>
      </c>
      <c r="C782" s="8">
        <v>2</v>
      </c>
      <c r="D782" s="3" t="s">
        <v>809</v>
      </c>
      <c r="E782" s="3" t="s">
        <v>215</v>
      </c>
      <c r="F782" s="3" t="s">
        <v>814</v>
      </c>
      <c r="G782" s="8" t="s">
        <v>984</v>
      </c>
      <c r="H782" s="8" t="s">
        <v>423</v>
      </c>
      <c r="I782" s="67">
        <f>30000-5100</f>
        <v>24900</v>
      </c>
      <c r="J782" s="67">
        <f t="shared" si="12"/>
        <v>33200</v>
      </c>
    </row>
    <row r="783" spans="1:10" ht="45">
      <c r="A783" s="3" t="s">
        <v>564</v>
      </c>
      <c r="B783" s="66">
        <v>2</v>
      </c>
      <c r="C783" s="8">
        <v>2</v>
      </c>
      <c r="D783" s="3" t="s">
        <v>809</v>
      </c>
      <c r="E783" s="3" t="s">
        <v>215</v>
      </c>
      <c r="F783" s="4" t="s">
        <v>815</v>
      </c>
      <c r="G783" s="8" t="s">
        <v>983</v>
      </c>
      <c r="H783" s="8" t="s">
        <v>330</v>
      </c>
      <c r="I783" s="67">
        <f>142074.11+22755</f>
        <v>164829.11</v>
      </c>
      <c r="J783" s="67">
        <f t="shared" si="12"/>
        <v>219772.14666666664</v>
      </c>
    </row>
    <row r="784" spans="1:10" ht="45">
      <c r="A784" s="3" t="s">
        <v>564</v>
      </c>
      <c r="B784" s="66">
        <v>2</v>
      </c>
      <c r="C784" s="8">
        <v>2</v>
      </c>
      <c r="D784" s="3" t="s">
        <v>809</v>
      </c>
      <c r="E784" s="3" t="s">
        <v>215</v>
      </c>
      <c r="F784" s="3" t="s">
        <v>684</v>
      </c>
      <c r="G784" s="8" t="s">
        <v>984</v>
      </c>
      <c r="H784" s="8" t="s">
        <v>423</v>
      </c>
      <c r="I784" s="67">
        <f>24999.75-2087.62</f>
        <v>22912.13</v>
      </c>
      <c r="J784" s="67">
        <f t="shared" si="12"/>
        <v>30549.506666666668</v>
      </c>
    </row>
    <row r="785" spans="1:10" ht="45">
      <c r="A785" s="24" t="s">
        <v>564</v>
      </c>
      <c r="B785" s="6">
        <v>2</v>
      </c>
      <c r="C785" s="6">
        <v>2</v>
      </c>
      <c r="D785" s="7" t="s">
        <v>809</v>
      </c>
      <c r="E785" s="24" t="s">
        <v>215</v>
      </c>
      <c r="F785" s="24"/>
      <c r="G785" s="6"/>
      <c r="H785" s="6"/>
      <c r="I785" s="13">
        <f>SUBTOTAL(9,I776:I784)</f>
        <v>301070.36</v>
      </c>
      <c r="J785" s="13">
        <f>SUBTOTAL(9,J776:J784)</f>
        <v>401427.1466666666</v>
      </c>
    </row>
    <row r="786" spans="1:10" ht="22.5">
      <c r="A786" s="3" t="s">
        <v>565</v>
      </c>
      <c r="B786" s="66">
        <v>2</v>
      </c>
      <c r="C786" s="8">
        <v>1</v>
      </c>
      <c r="D786" s="3" t="s">
        <v>816</v>
      </c>
      <c r="E786" s="3" t="s">
        <v>237</v>
      </c>
      <c r="F786" s="4" t="s">
        <v>817</v>
      </c>
      <c r="G786" s="8" t="s">
        <v>983</v>
      </c>
      <c r="H786" s="8" t="s">
        <v>330</v>
      </c>
      <c r="I786" s="67">
        <v>289847.96</v>
      </c>
      <c r="J786" s="67">
        <f>I786/0.75</f>
        <v>386463.9466666667</v>
      </c>
    </row>
    <row r="787" spans="1:10" ht="22.5">
      <c r="A787" s="3" t="s">
        <v>565</v>
      </c>
      <c r="B787" s="66">
        <v>2</v>
      </c>
      <c r="C787" s="8">
        <v>1</v>
      </c>
      <c r="D787" s="3" t="s">
        <v>816</v>
      </c>
      <c r="E787" s="3" t="s">
        <v>237</v>
      </c>
      <c r="F787" s="3" t="s">
        <v>685</v>
      </c>
      <c r="G787" s="8" t="s">
        <v>984</v>
      </c>
      <c r="H787" s="8" t="s">
        <v>423</v>
      </c>
      <c r="I787" s="67">
        <v>48889.5</v>
      </c>
      <c r="J787" s="67">
        <f>I787/0.75</f>
        <v>65186</v>
      </c>
    </row>
    <row r="788" spans="1:10" ht="22.5">
      <c r="A788" s="3" t="s">
        <v>565</v>
      </c>
      <c r="B788" s="66">
        <v>2</v>
      </c>
      <c r="C788" s="8">
        <v>1</v>
      </c>
      <c r="D788" s="3" t="s">
        <v>816</v>
      </c>
      <c r="E788" s="3" t="s">
        <v>237</v>
      </c>
      <c r="F788" s="3" t="s">
        <v>686</v>
      </c>
      <c r="G788" s="8" t="s">
        <v>984</v>
      </c>
      <c r="H788" s="8" t="s">
        <v>423</v>
      </c>
      <c r="I788" s="67">
        <v>61928.01</v>
      </c>
      <c r="J788" s="67">
        <f>I788/0.75</f>
        <v>82570.68000000001</v>
      </c>
    </row>
    <row r="789" spans="1:10" ht="22.5">
      <c r="A789" s="24" t="s">
        <v>565</v>
      </c>
      <c r="B789" s="6">
        <v>2</v>
      </c>
      <c r="C789" s="6">
        <v>1</v>
      </c>
      <c r="D789" s="7" t="s">
        <v>816</v>
      </c>
      <c r="E789" s="24" t="s">
        <v>237</v>
      </c>
      <c r="F789" s="24"/>
      <c r="G789" s="6"/>
      <c r="H789" s="6"/>
      <c r="I789" s="13">
        <f>SUBTOTAL(9,I786:I788)</f>
        <v>400665.47000000003</v>
      </c>
      <c r="J789" s="13">
        <f>SUBTOTAL(9,J786:J788)</f>
        <v>534220.6266666667</v>
      </c>
    </row>
    <row r="790" spans="1:10" ht="33.75">
      <c r="A790" s="3" t="s">
        <v>561</v>
      </c>
      <c r="B790" s="66">
        <v>2</v>
      </c>
      <c r="C790" s="8">
        <v>4</v>
      </c>
      <c r="D790" s="3" t="s">
        <v>457</v>
      </c>
      <c r="E790" s="3" t="s">
        <v>233</v>
      </c>
      <c r="F790" s="3" t="s">
        <v>458</v>
      </c>
      <c r="G790" s="8" t="s">
        <v>984</v>
      </c>
      <c r="H790" s="8" t="s">
        <v>423</v>
      </c>
      <c r="I790" s="67">
        <v>96775.5</v>
      </c>
      <c r="J790" s="67">
        <f>I790/0.75</f>
        <v>129034</v>
      </c>
    </row>
    <row r="791" spans="1:10" ht="33.75">
      <c r="A791" s="3" t="s">
        <v>561</v>
      </c>
      <c r="B791" s="66">
        <v>2</v>
      </c>
      <c r="C791" s="8">
        <v>4</v>
      </c>
      <c r="D791" s="3" t="s">
        <v>457</v>
      </c>
      <c r="E791" s="3" t="s">
        <v>233</v>
      </c>
      <c r="F791" s="3" t="s">
        <v>777</v>
      </c>
      <c r="G791" s="8" t="s">
        <v>984</v>
      </c>
      <c r="H791" s="8" t="s">
        <v>423</v>
      </c>
      <c r="I791" s="67">
        <v>186371.25</v>
      </c>
      <c r="J791" s="67">
        <f>I791/0.75</f>
        <v>248495</v>
      </c>
    </row>
    <row r="792" spans="1:10" ht="33.75">
      <c r="A792" s="3" t="s">
        <v>561</v>
      </c>
      <c r="B792" s="66">
        <v>2</v>
      </c>
      <c r="C792" s="8">
        <v>4</v>
      </c>
      <c r="D792" s="3" t="s">
        <v>457</v>
      </c>
      <c r="E792" s="3" t="s">
        <v>233</v>
      </c>
      <c r="F792" s="4" t="s">
        <v>650</v>
      </c>
      <c r="G792" s="8" t="s">
        <v>983</v>
      </c>
      <c r="H792" s="8" t="s">
        <v>330</v>
      </c>
      <c r="I792" s="67">
        <v>674287.5</v>
      </c>
      <c r="J792" s="67">
        <f>I792/0.75</f>
        <v>899050</v>
      </c>
    </row>
    <row r="793" spans="1:10" ht="33.75">
      <c r="A793" s="3" t="s">
        <v>561</v>
      </c>
      <c r="B793" s="66">
        <v>2</v>
      </c>
      <c r="C793" s="8">
        <v>4</v>
      </c>
      <c r="D793" s="3" t="s">
        <v>457</v>
      </c>
      <c r="E793" s="3" t="s">
        <v>233</v>
      </c>
      <c r="F793" s="3" t="s">
        <v>651</v>
      </c>
      <c r="G793" s="8" t="s">
        <v>983</v>
      </c>
      <c r="H793" s="8" t="s">
        <v>423</v>
      </c>
      <c r="I793" s="67">
        <v>0</v>
      </c>
      <c r="J793" s="67">
        <f>I793/0.75</f>
        <v>0</v>
      </c>
    </row>
    <row r="794" spans="1:10" ht="33.75">
      <c r="A794" s="3" t="s">
        <v>561</v>
      </c>
      <c r="B794" s="66">
        <v>2</v>
      </c>
      <c r="C794" s="8">
        <v>4</v>
      </c>
      <c r="D794" s="3" t="s">
        <v>457</v>
      </c>
      <c r="E794" s="3" t="s">
        <v>233</v>
      </c>
      <c r="F794" s="3" t="s">
        <v>509</v>
      </c>
      <c r="G794" s="8" t="s">
        <v>984</v>
      </c>
      <c r="H794" s="8" t="s">
        <v>423</v>
      </c>
      <c r="I794" s="67">
        <v>9000</v>
      </c>
      <c r="J794" s="67">
        <f>I794/0.75</f>
        <v>12000</v>
      </c>
    </row>
    <row r="795" spans="1:10" ht="33.75">
      <c r="A795" s="24" t="s">
        <v>561</v>
      </c>
      <c r="B795" s="6">
        <v>2</v>
      </c>
      <c r="C795" s="6">
        <v>4</v>
      </c>
      <c r="D795" s="7" t="s">
        <v>457</v>
      </c>
      <c r="E795" s="24" t="s">
        <v>233</v>
      </c>
      <c r="F795" s="24"/>
      <c r="G795" s="6"/>
      <c r="H795" s="6"/>
      <c r="I795" s="13">
        <f>SUBTOTAL(9,I790:I794)</f>
        <v>966434.25</v>
      </c>
      <c r="J795" s="13">
        <f>SUBTOTAL(9,J790:J794)</f>
        <v>1288579</v>
      </c>
    </row>
    <row r="796" spans="1:10" ht="33.75">
      <c r="A796" s="3" t="s">
        <v>565</v>
      </c>
      <c r="B796" s="66">
        <v>2</v>
      </c>
      <c r="C796" s="8">
        <v>4</v>
      </c>
      <c r="D796" s="3" t="s">
        <v>778</v>
      </c>
      <c r="E796" s="3" t="s">
        <v>238</v>
      </c>
      <c r="F796" s="4" t="s">
        <v>516</v>
      </c>
      <c r="G796" s="8" t="s">
        <v>983</v>
      </c>
      <c r="H796" s="8" t="s">
        <v>330</v>
      </c>
      <c r="I796" s="67">
        <v>120000</v>
      </c>
      <c r="J796" s="67">
        <f aca="true" t="shared" si="13" ref="J796:J801">I796/0.75</f>
        <v>160000</v>
      </c>
    </row>
    <row r="797" spans="1:10" ht="33.75">
      <c r="A797" s="3" t="s">
        <v>565</v>
      </c>
      <c r="B797" s="66">
        <v>2</v>
      </c>
      <c r="C797" s="8">
        <v>4</v>
      </c>
      <c r="D797" s="3" t="s">
        <v>778</v>
      </c>
      <c r="E797" s="3" t="s">
        <v>238</v>
      </c>
      <c r="F797" s="3" t="s">
        <v>671</v>
      </c>
      <c r="G797" s="8" t="s">
        <v>984</v>
      </c>
      <c r="H797" s="8" t="s">
        <v>423</v>
      </c>
      <c r="I797" s="67">
        <v>50000</v>
      </c>
      <c r="J797" s="67">
        <f t="shared" si="13"/>
        <v>66666.66666666667</v>
      </c>
    </row>
    <row r="798" spans="1:10" ht="33.75">
      <c r="A798" s="3" t="s">
        <v>565</v>
      </c>
      <c r="B798" s="66">
        <v>2</v>
      </c>
      <c r="C798" s="8">
        <v>4</v>
      </c>
      <c r="D798" s="3" t="s">
        <v>778</v>
      </c>
      <c r="E798" s="3" t="s">
        <v>238</v>
      </c>
      <c r="F798" s="3" t="s">
        <v>779</v>
      </c>
      <c r="G798" s="8" t="s">
        <v>983</v>
      </c>
      <c r="H798" s="8" t="s">
        <v>423</v>
      </c>
      <c r="I798" s="67">
        <v>100000</v>
      </c>
      <c r="J798" s="67">
        <f t="shared" si="13"/>
        <v>133333.33333333334</v>
      </c>
    </row>
    <row r="799" spans="1:10" ht="33.75">
      <c r="A799" s="3" t="s">
        <v>565</v>
      </c>
      <c r="B799" s="66">
        <v>2</v>
      </c>
      <c r="C799" s="8">
        <v>4</v>
      </c>
      <c r="D799" s="3" t="s">
        <v>778</v>
      </c>
      <c r="E799" s="3" t="s">
        <v>238</v>
      </c>
      <c r="F799" s="3" t="s">
        <v>780</v>
      </c>
      <c r="G799" s="8" t="s">
        <v>983</v>
      </c>
      <c r="H799" s="8" t="s">
        <v>423</v>
      </c>
      <c r="I799" s="67">
        <v>363750</v>
      </c>
      <c r="J799" s="67">
        <f t="shared" si="13"/>
        <v>485000</v>
      </c>
    </row>
    <row r="800" spans="1:10" ht="33.75">
      <c r="A800" s="3" t="s">
        <v>565</v>
      </c>
      <c r="B800" s="66">
        <v>2</v>
      </c>
      <c r="C800" s="8">
        <v>4</v>
      </c>
      <c r="D800" s="3" t="s">
        <v>778</v>
      </c>
      <c r="E800" s="3" t="s">
        <v>238</v>
      </c>
      <c r="F800" s="3" t="s">
        <v>781</v>
      </c>
      <c r="G800" s="8" t="s">
        <v>983</v>
      </c>
      <c r="H800" s="8" t="s">
        <v>423</v>
      </c>
      <c r="I800" s="67">
        <v>150000</v>
      </c>
      <c r="J800" s="67">
        <f t="shared" si="13"/>
        <v>200000</v>
      </c>
    </row>
    <row r="801" spans="1:10" ht="33.75">
      <c r="A801" s="3" t="s">
        <v>565</v>
      </c>
      <c r="B801" s="66">
        <v>2</v>
      </c>
      <c r="C801" s="8">
        <v>4</v>
      </c>
      <c r="D801" s="3" t="s">
        <v>778</v>
      </c>
      <c r="E801" s="3" t="s">
        <v>238</v>
      </c>
      <c r="F801" s="3" t="s">
        <v>652</v>
      </c>
      <c r="G801" s="8" t="s">
        <v>984</v>
      </c>
      <c r="H801" s="8" t="s">
        <v>423</v>
      </c>
      <c r="I801" s="67">
        <v>75000</v>
      </c>
      <c r="J801" s="67">
        <f t="shared" si="13"/>
        <v>100000</v>
      </c>
    </row>
    <row r="802" spans="1:10" ht="33.75">
      <c r="A802" s="24" t="s">
        <v>565</v>
      </c>
      <c r="B802" s="6">
        <v>2</v>
      </c>
      <c r="C802" s="6">
        <v>4</v>
      </c>
      <c r="D802" s="7" t="s">
        <v>778</v>
      </c>
      <c r="E802" s="24" t="s">
        <v>238</v>
      </c>
      <c r="F802" s="24"/>
      <c r="G802" s="6"/>
      <c r="H802" s="6"/>
      <c r="I802" s="13">
        <f>SUBTOTAL(9,I796:I801)</f>
        <v>858750</v>
      </c>
      <c r="J802" s="13">
        <f>SUBTOTAL(9,J796:J801)</f>
        <v>1145000</v>
      </c>
    </row>
    <row r="803" spans="1:10" ht="33.75">
      <c r="A803" s="3" t="s">
        <v>807</v>
      </c>
      <c r="B803" s="66">
        <v>2</v>
      </c>
      <c r="C803" s="8">
        <v>1</v>
      </c>
      <c r="D803" s="3" t="s">
        <v>782</v>
      </c>
      <c r="E803" s="3" t="s">
        <v>805</v>
      </c>
      <c r="F803" s="3" t="s">
        <v>283</v>
      </c>
      <c r="G803" s="8" t="s">
        <v>983</v>
      </c>
      <c r="H803" s="8" t="s">
        <v>423</v>
      </c>
      <c r="I803" s="68">
        <f>268497+10012.5</f>
        <v>278509.5</v>
      </c>
      <c r="J803" s="67">
        <f>I803/0.75</f>
        <v>371346</v>
      </c>
    </row>
    <row r="804" spans="1:10" ht="33.75">
      <c r="A804" s="3" t="s">
        <v>807</v>
      </c>
      <c r="B804" s="66">
        <v>2</v>
      </c>
      <c r="C804" s="8">
        <v>1</v>
      </c>
      <c r="D804" s="3" t="s">
        <v>782</v>
      </c>
      <c r="E804" s="3" t="s">
        <v>805</v>
      </c>
      <c r="F804" s="3" t="s">
        <v>783</v>
      </c>
      <c r="G804" s="8" t="s">
        <v>983</v>
      </c>
      <c r="H804" s="8" t="s">
        <v>423</v>
      </c>
      <c r="I804" s="67">
        <v>178005</v>
      </c>
      <c r="J804" s="67">
        <f>I804/0.75</f>
        <v>237340</v>
      </c>
    </row>
    <row r="805" spans="1:10" ht="33.75">
      <c r="A805" s="3" t="s">
        <v>807</v>
      </c>
      <c r="B805" s="66">
        <v>2</v>
      </c>
      <c r="C805" s="8">
        <v>1</v>
      </c>
      <c r="D805" s="3" t="s">
        <v>782</v>
      </c>
      <c r="E805" s="3" t="s">
        <v>805</v>
      </c>
      <c r="F805" s="4" t="s">
        <v>806</v>
      </c>
      <c r="G805" s="8" t="s">
        <v>983</v>
      </c>
      <c r="H805" s="8" t="s">
        <v>330</v>
      </c>
      <c r="I805" s="67">
        <v>283135.2</v>
      </c>
      <c r="J805" s="67">
        <f>I805/0.75</f>
        <v>377513.60000000003</v>
      </c>
    </row>
    <row r="806" spans="1:10" ht="33.75">
      <c r="A806" s="3" t="s">
        <v>807</v>
      </c>
      <c r="B806" s="66">
        <v>2</v>
      </c>
      <c r="C806" s="8">
        <v>1</v>
      </c>
      <c r="D806" s="3" t="s">
        <v>782</v>
      </c>
      <c r="E806" s="3" t="s">
        <v>805</v>
      </c>
      <c r="F806" s="3" t="s">
        <v>721</v>
      </c>
      <c r="G806" s="8" t="s">
        <v>984</v>
      </c>
      <c r="H806" s="8" t="s">
        <v>423</v>
      </c>
      <c r="I806" s="67">
        <f>277013.58+99486.3</f>
        <v>376499.88</v>
      </c>
      <c r="J806" s="67">
        <f>I806/0.75</f>
        <v>501999.84</v>
      </c>
    </row>
    <row r="807" spans="1:10" ht="33.75">
      <c r="A807" s="3" t="s">
        <v>807</v>
      </c>
      <c r="B807" s="66">
        <v>2</v>
      </c>
      <c r="C807" s="8">
        <v>1</v>
      </c>
      <c r="D807" s="3" t="s">
        <v>782</v>
      </c>
      <c r="E807" s="3" t="s">
        <v>805</v>
      </c>
      <c r="F807" s="3" t="s">
        <v>325</v>
      </c>
      <c r="G807" s="8" t="s">
        <v>984</v>
      </c>
      <c r="H807" s="8" t="s">
        <v>423</v>
      </c>
      <c r="I807" s="67">
        <f>99486.3-99486.3</f>
        <v>0</v>
      </c>
      <c r="J807" s="67">
        <f>I807/0.75</f>
        <v>0</v>
      </c>
    </row>
    <row r="808" spans="1:10" ht="33.75">
      <c r="A808" s="24" t="s">
        <v>807</v>
      </c>
      <c r="B808" s="6">
        <v>2</v>
      </c>
      <c r="C808" s="6">
        <v>1</v>
      </c>
      <c r="D808" s="7" t="s">
        <v>782</v>
      </c>
      <c r="E808" s="24" t="s">
        <v>805</v>
      </c>
      <c r="F808" s="24"/>
      <c r="G808" s="6"/>
      <c r="H808" s="6"/>
      <c r="I808" s="13">
        <f>SUBTOTAL(9,I803:I807)</f>
        <v>1116149.58</v>
      </c>
      <c r="J808" s="13">
        <f>SUBTOTAL(9,J803:J807)</f>
        <v>1488199.4400000002</v>
      </c>
    </row>
    <row r="809" spans="1:10" ht="33.75">
      <c r="A809" s="3" t="s">
        <v>807</v>
      </c>
      <c r="B809" s="66">
        <v>2</v>
      </c>
      <c r="C809" s="8">
        <v>1</v>
      </c>
      <c r="D809" s="3" t="s">
        <v>785</v>
      </c>
      <c r="E809" s="3" t="s">
        <v>247</v>
      </c>
      <c r="F809" s="3" t="s">
        <v>574</v>
      </c>
      <c r="G809" s="8" t="s">
        <v>984</v>
      </c>
      <c r="H809" s="8" t="s">
        <v>423</v>
      </c>
      <c r="I809" s="67">
        <v>82500</v>
      </c>
      <c r="J809" s="67">
        <f>I809/0.75</f>
        <v>110000</v>
      </c>
    </row>
    <row r="810" spans="1:10" ht="33.75">
      <c r="A810" s="3" t="s">
        <v>807</v>
      </c>
      <c r="B810" s="66">
        <v>2</v>
      </c>
      <c r="C810" s="8">
        <v>1</v>
      </c>
      <c r="D810" s="3" t="s">
        <v>785</v>
      </c>
      <c r="E810" s="3" t="s">
        <v>247</v>
      </c>
      <c r="F810" s="3" t="s">
        <v>248</v>
      </c>
      <c r="G810" s="8" t="s">
        <v>983</v>
      </c>
      <c r="H810" s="8" t="s">
        <v>423</v>
      </c>
      <c r="I810" s="67">
        <v>106104</v>
      </c>
      <c r="J810" s="67">
        <f>I810/0.75</f>
        <v>141472</v>
      </c>
    </row>
    <row r="811" spans="1:10" ht="33.75">
      <c r="A811" s="3" t="s">
        <v>807</v>
      </c>
      <c r="B811" s="66">
        <v>2</v>
      </c>
      <c r="C811" s="8">
        <v>1</v>
      </c>
      <c r="D811" s="3" t="s">
        <v>785</v>
      </c>
      <c r="E811" s="3" t="s">
        <v>247</v>
      </c>
      <c r="F811" s="3" t="s">
        <v>786</v>
      </c>
      <c r="G811" s="8" t="s">
        <v>983</v>
      </c>
      <c r="H811" s="8" t="s">
        <v>423</v>
      </c>
      <c r="I811" s="67">
        <v>201213.36</v>
      </c>
      <c r="J811" s="67">
        <f>I811/0.75</f>
        <v>268284.48</v>
      </c>
    </row>
    <row r="812" spans="1:10" ht="33.75">
      <c r="A812" s="3" t="s">
        <v>807</v>
      </c>
      <c r="B812" s="66">
        <v>2</v>
      </c>
      <c r="C812" s="8">
        <v>1</v>
      </c>
      <c r="D812" s="3" t="s">
        <v>785</v>
      </c>
      <c r="E812" s="3" t="s">
        <v>247</v>
      </c>
      <c r="F812" s="4" t="s">
        <v>293</v>
      </c>
      <c r="G812" s="8" t="s">
        <v>983</v>
      </c>
      <c r="H812" s="8" t="s">
        <v>330</v>
      </c>
      <c r="I812" s="67">
        <v>345862.56</v>
      </c>
      <c r="J812" s="67">
        <f>I812/0.75</f>
        <v>461150.08</v>
      </c>
    </row>
    <row r="813" spans="1:10" ht="33.75">
      <c r="A813" s="3" t="s">
        <v>807</v>
      </c>
      <c r="B813" s="66">
        <v>2</v>
      </c>
      <c r="C813" s="8">
        <v>1</v>
      </c>
      <c r="D813" s="3" t="s">
        <v>785</v>
      </c>
      <c r="E813" s="3" t="s">
        <v>247</v>
      </c>
      <c r="F813" s="3" t="s">
        <v>722</v>
      </c>
      <c r="G813" s="8" t="s">
        <v>984</v>
      </c>
      <c r="H813" s="8" t="s">
        <v>423</v>
      </c>
      <c r="I813" s="67">
        <v>105000</v>
      </c>
      <c r="J813" s="67">
        <f>I813/0.75</f>
        <v>140000</v>
      </c>
    </row>
    <row r="814" spans="1:10" ht="33.75">
      <c r="A814" s="24" t="s">
        <v>807</v>
      </c>
      <c r="B814" s="6">
        <v>2</v>
      </c>
      <c r="C814" s="6">
        <v>1</v>
      </c>
      <c r="D814" s="7" t="s">
        <v>785</v>
      </c>
      <c r="E814" s="24" t="s">
        <v>247</v>
      </c>
      <c r="F814" s="24"/>
      <c r="G814" s="6"/>
      <c r="H814" s="6"/>
      <c r="I814" s="13">
        <f>SUBTOTAL(9,I809:I813)</f>
        <v>840679.9199999999</v>
      </c>
      <c r="J814" s="13">
        <f>SUBTOTAL(9,J809:J813)</f>
        <v>1120906.56</v>
      </c>
    </row>
    <row r="815" spans="1:10" ht="33.75">
      <c r="A815" s="3" t="s">
        <v>807</v>
      </c>
      <c r="B815" s="66">
        <v>2</v>
      </c>
      <c r="C815" s="8">
        <v>4</v>
      </c>
      <c r="D815" s="3" t="s">
        <v>787</v>
      </c>
      <c r="E815" s="3" t="s">
        <v>376</v>
      </c>
      <c r="F815" s="3" t="s">
        <v>377</v>
      </c>
      <c r="G815" s="8" t="s">
        <v>984</v>
      </c>
      <c r="H815" s="8" t="s">
        <v>423</v>
      </c>
      <c r="I815" s="67">
        <v>53550</v>
      </c>
      <c r="J815" s="67">
        <f>I815/0.75</f>
        <v>71400</v>
      </c>
    </row>
    <row r="816" spans="1:10" ht="33.75">
      <c r="A816" s="3" t="s">
        <v>807</v>
      </c>
      <c r="B816" s="66">
        <v>2</v>
      </c>
      <c r="C816" s="8">
        <v>4</v>
      </c>
      <c r="D816" s="3" t="s">
        <v>787</v>
      </c>
      <c r="E816" s="3" t="s">
        <v>376</v>
      </c>
      <c r="F816" s="4" t="s">
        <v>333</v>
      </c>
      <c r="G816" s="8" t="s">
        <v>983</v>
      </c>
      <c r="H816" s="8" t="s">
        <v>330</v>
      </c>
      <c r="I816" s="67">
        <v>199500</v>
      </c>
      <c r="J816" s="67">
        <f>I816/0.75</f>
        <v>266000</v>
      </c>
    </row>
    <row r="817" spans="1:10" ht="33.75">
      <c r="A817" s="24" t="s">
        <v>807</v>
      </c>
      <c r="B817" s="6">
        <v>2</v>
      </c>
      <c r="C817" s="6">
        <v>4</v>
      </c>
      <c r="D817" s="7" t="s">
        <v>787</v>
      </c>
      <c r="E817" s="24" t="s">
        <v>376</v>
      </c>
      <c r="F817" s="24"/>
      <c r="G817" s="6"/>
      <c r="H817" s="6"/>
      <c r="I817" s="13">
        <f>SUBTOTAL(9,I815:I816)</f>
        <v>253050</v>
      </c>
      <c r="J817" s="13">
        <f>SUBTOTAL(9,J815:J816)</f>
        <v>337400</v>
      </c>
    </row>
    <row r="818" spans="1:10" ht="56.25">
      <c r="A818" s="3" t="s">
        <v>807</v>
      </c>
      <c r="B818" s="66">
        <v>2</v>
      </c>
      <c r="C818" s="8">
        <v>1</v>
      </c>
      <c r="D818" s="3" t="s">
        <v>788</v>
      </c>
      <c r="E818" s="3" t="s">
        <v>326</v>
      </c>
      <c r="F818" s="3" t="s">
        <v>743</v>
      </c>
      <c r="G818" s="8" t="s">
        <v>983</v>
      </c>
      <c r="H818" s="8" t="s">
        <v>423</v>
      </c>
      <c r="I818" s="67">
        <f>90195+1876.88</f>
        <v>92071.88</v>
      </c>
      <c r="J818" s="67">
        <f>I818/0.75</f>
        <v>122762.50666666667</v>
      </c>
    </row>
    <row r="819" spans="1:10" ht="56.25">
      <c r="A819" s="3" t="s">
        <v>807</v>
      </c>
      <c r="B819" s="66">
        <v>2</v>
      </c>
      <c r="C819" s="8">
        <v>1</v>
      </c>
      <c r="D819" s="3" t="s">
        <v>788</v>
      </c>
      <c r="E819" s="3" t="s">
        <v>326</v>
      </c>
      <c r="F819" s="4" t="s">
        <v>558</v>
      </c>
      <c r="G819" s="8" t="s">
        <v>983</v>
      </c>
      <c r="H819" s="8" t="s">
        <v>330</v>
      </c>
      <c r="I819" s="67">
        <v>123015</v>
      </c>
      <c r="J819" s="67">
        <f>I819/0.75</f>
        <v>164020</v>
      </c>
    </row>
    <row r="820" spans="1:10" ht="56.25">
      <c r="A820" s="3" t="s">
        <v>807</v>
      </c>
      <c r="B820" s="66">
        <v>2</v>
      </c>
      <c r="C820" s="8">
        <v>1</v>
      </c>
      <c r="D820" s="3" t="s">
        <v>788</v>
      </c>
      <c r="E820" s="3" t="s">
        <v>326</v>
      </c>
      <c r="F820" s="3" t="s">
        <v>1004</v>
      </c>
      <c r="G820" s="8" t="s">
        <v>984</v>
      </c>
      <c r="H820" s="8" t="s">
        <v>423</v>
      </c>
      <c r="I820" s="67">
        <v>52500</v>
      </c>
      <c r="J820" s="67">
        <f>I820/0.75</f>
        <v>70000</v>
      </c>
    </row>
    <row r="821" spans="1:10" ht="56.25">
      <c r="A821" s="3" t="s">
        <v>807</v>
      </c>
      <c r="B821" s="66">
        <v>2</v>
      </c>
      <c r="C821" s="8">
        <v>1</v>
      </c>
      <c r="D821" s="3" t="s">
        <v>788</v>
      </c>
      <c r="E821" s="3" t="s">
        <v>326</v>
      </c>
      <c r="F821" s="3" t="s">
        <v>2</v>
      </c>
      <c r="G821" s="8" t="s">
        <v>984</v>
      </c>
      <c r="H821" s="8" t="s">
        <v>423</v>
      </c>
      <c r="I821" s="67">
        <v>47250</v>
      </c>
      <c r="J821" s="67">
        <f>I821/0.75</f>
        <v>63000</v>
      </c>
    </row>
    <row r="822" spans="1:10" ht="56.25">
      <c r="A822" s="24" t="s">
        <v>807</v>
      </c>
      <c r="B822" s="6">
        <v>2</v>
      </c>
      <c r="C822" s="6">
        <v>1</v>
      </c>
      <c r="D822" s="7" t="s">
        <v>788</v>
      </c>
      <c r="E822" s="24" t="s">
        <v>326</v>
      </c>
      <c r="F822" s="24"/>
      <c r="G822" s="6"/>
      <c r="H822" s="6"/>
      <c r="I822" s="13">
        <f>SUBTOTAL(9,I818:I821)</f>
        <v>314836.88</v>
      </c>
      <c r="J822" s="13">
        <f>SUBTOTAL(9,J818:J821)</f>
        <v>419782.50666666665</v>
      </c>
    </row>
    <row r="823" spans="1:10" ht="22.5">
      <c r="A823" s="3" t="s">
        <v>565</v>
      </c>
      <c r="B823" s="66">
        <v>2</v>
      </c>
      <c r="C823" s="8">
        <v>2</v>
      </c>
      <c r="D823" s="3" t="s">
        <v>789</v>
      </c>
      <c r="E823" s="3" t="s">
        <v>323</v>
      </c>
      <c r="F823" s="4" t="s">
        <v>730</v>
      </c>
      <c r="G823" s="8" t="s">
        <v>983</v>
      </c>
      <c r="H823" s="8" t="s">
        <v>330</v>
      </c>
      <c r="I823" s="67">
        <f>240000+450000</f>
        <v>690000</v>
      </c>
      <c r="J823" s="67">
        <f>I823/0.75</f>
        <v>920000</v>
      </c>
    </row>
    <row r="824" spans="1:10" ht="22.5">
      <c r="A824" s="3" t="s">
        <v>565</v>
      </c>
      <c r="B824" s="66">
        <v>2</v>
      </c>
      <c r="C824" s="8">
        <v>2</v>
      </c>
      <c r="D824" s="3" t="s">
        <v>789</v>
      </c>
      <c r="E824" s="3" t="s">
        <v>323</v>
      </c>
      <c r="F824" s="3" t="s">
        <v>324</v>
      </c>
      <c r="G824" s="8" t="s">
        <v>983</v>
      </c>
      <c r="H824" s="8" t="s">
        <v>423</v>
      </c>
      <c r="I824" s="67">
        <v>60000</v>
      </c>
      <c r="J824" s="67">
        <f>I824/0.75</f>
        <v>80000</v>
      </c>
    </row>
    <row r="825" spans="1:10" ht="22.5">
      <c r="A825" s="3" t="s">
        <v>565</v>
      </c>
      <c r="B825" s="66">
        <v>2</v>
      </c>
      <c r="C825" s="8">
        <v>2</v>
      </c>
      <c r="D825" s="3" t="s">
        <v>789</v>
      </c>
      <c r="E825" s="3" t="s">
        <v>323</v>
      </c>
      <c r="F825" s="3" t="s">
        <v>533</v>
      </c>
      <c r="G825" s="8" t="s">
        <v>984</v>
      </c>
      <c r="H825" s="8" t="s">
        <v>423</v>
      </c>
      <c r="I825" s="67">
        <v>0</v>
      </c>
      <c r="J825" s="67">
        <f>I825/0.75</f>
        <v>0</v>
      </c>
    </row>
    <row r="826" spans="1:10" ht="22.5">
      <c r="A826" s="24" t="s">
        <v>565</v>
      </c>
      <c r="B826" s="6">
        <v>2</v>
      </c>
      <c r="C826" s="6">
        <v>2</v>
      </c>
      <c r="D826" s="7" t="s">
        <v>789</v>
      </c>
      <c r="E826" s="24" t="s">
        <v>323</v>
      </c>
      <c r="F826" s="24"/>
      <c r="G826" s="6"/>
      <c r="H826" s="6"/>
      <c r="I826" s="13">
        <f>SUBTOTAL(9,I823:I825)</f>
        <v>750000</v>
      </c>
      <c r="J826" s="13">
        <f>SUBTOTAL(9,J823:J825)</f>
        <v>1000000</v>
      </c>
    </row>
    <row r="827" spans="1:10" ht="56.25">
      <c r="A827" s="3" t="s">
        <v>565</v>
      </c>
      <c r="B827" s="66">
        <v>2</v>
      </c>
      <c r="C827" s="8">
        <v>1</v>
      </c>
      <c r="D827" s="3" t="s">
        <v>731</v>
      </c>
      <c r="E827" s="3" t="s">
        <v>230</v>
      </c>
      <c r="F827" s="3" t="s">
        <v>879</v>
      </c>
      <c r="G827" s="8" t="s">
        <v>984</v>
      </c>
      <c r="H827" s="8" t="s">
        <v>423</v>
      </c>
      <c r="I827" s="67">
        <v>19970.72</v>
      </c>
      <c r="J827" s="67">
        <f>I827/0.75</f>
        <v>26627.626666666667</v>
      </c>
    </row>
    <row r="828" spans="1:10" ht="56.25">
      <c r="A828" s="3" t="s">
        <v>565</v>
      </c>
      <c r="B828" s="66">
        <v>2</v>
      </c>
      <c r="C828" s="8">
        <v>1</v>
      </c>
      <c r="D828" s="3" t="s">
        <v>731</v>
      </c>
      <c r="E828" s="3" t="s">
        <v>230</v>
      </c>
      <c r="F828" s="3" t="s">
        <v>1015</v>
      </c>
      <c r="G828" s="8" t="s">
        <v>983</v>
      </c>
      <c r="H828" s="8" t="s">
        <v>423</v>
      </c>
      <c r="I828" s="67">
        <v>130380.85</v>
      </c>
      <c r="J828" s="67">
        <f>I828/0.75</f>
        <v>173841.13333333333</v>
      </c>
    </row>
    <row r="829" spans="1:10" ht="56.25">
      <c r="A829" s="3" t="s">
        <v>565</v>
      </c>
      <c r="B829" s="66">
        <v>2</v>
      </c>
      <c r="C829" s="8">
        <v>1</v>
      </c>
      <c r="D829" s="3" t="s">
        <v>731</v>
      </c>
      <c r="E829" s="3" t="s">
        <v>230</v>
      </c>
      <c r="F829" s="4" t="s">
        <v>653</v>
      </c>
      <c r="G829" s="8" t="s">
        <v>983</v>
      </c>
      <c r="H829" s="8" t="s">
        <v>330</v>
      </c>
      <c r="I829" s="67">
        <v>405373.5</v>
      </c>
      <c r="J829" s="67">
        <f>I829/0.75</f>
        <v>540498</v>
      </c>
    </row>
    <row r="830" spans="1:10" ht="56.25">
      <c r="A830" s="3" t="s">
        <v>565</v>
      </c>
      <c r="B830" s="66">
        <v>2</v>
      </c>
      <c r="C830" s="8">
        <v>1</v>
      </c>
      <c r="D830" s="3" t="s">
        <v>731</v>
      </c>
      <c r="E830" s="3" t="s">
        <v>230</v>
      </c>
      <c r="F830" s="3" t="s">
        <v>754</v>
      </c>
      <c r="G830" s="8" t="s">
        <v>984</v>
      </c>
      <c r="H830" s="8" t="s">
        <v>423</v>
      </c>
      <c r="I830" s="67">
        <v>35000</v>
      </c>
      <c r="J830" s="67">
        <f>I830/0.75</f>
        <v>46666.666666666664</v>
      </c>
    </row>
    <row r="831" spans="1:10" ht="56.25">
      <c r="A831" s="3" t="s">
        <v>565</v>
      </c>
      <c r="B831" s="66">
        <v>2</v>
      </c>
      <c r="C831" s="8">
        <v>1</v>
      </c>
      <c r="D831" s="3" t="s">
        <v>731</v>
      </c>
      <c r="E831" s="3" t="s">
        <v>230</v>
      </c>
      <c r="F831" s="3" t="s">
        <v>346</v>
      </c>
      <c r="G831" s="8" t="s">
        <v>984</v>
      </c>
      <c r="H831" s="8" t="s">
        <v>423</v>
      </c>
      <c r="I831" s="67">
        <v>40000</v>
      </c>
      <c r="J831" s="67">
        <f>I831/0.75</f>
        <v>53333.333333333336</v>
      </c>
    </row>
    <row r="832" spans="1:10" ht="56.25">
      <c r="A832" s="24" t="s">
        <v>565</v>
      </c>
      <c r="B832" s="6">
        <v>2</v>
      </c>
      <c r="C832" s="6">
        <v>1</v>
      </c>
      <c r="D832" s="7" t="s">
        <v>731</v>
      </c>
      <c r="E832" s="24" t="s">
        <v>230</v>
      </c>
      <c r="F832" s="24"/>
      <c r="G832" s="6"/>
      <c r="H832" s="6"/>
      <c r="I832" s="13">
        <f>SUBTOTAL(9,I827:I831)</f>
        <v>630725.0700000001</v>
      </c>
      <c r="J832" s="13">
        <f>SUBTOTAL(9,J827:J831)</f>
        <v>840966.76</v>
      </c>
    </row>
    <row r="833" spans="1:10" ht="45">
      <c r="A833" s="3" t="s">
        <v>807</v>
      </c>
      <c r="B833" s="66">
        <v>2</v>
      </c>
      <c r="C833" s="8">
        <v>3</v>
      </c>
      <c r="D833" s="3" t="s">
        <v>732</v>
      </c>
      <c r="E833" s="3" t="s">
        <v>697</v>
      </c>
      <c r="F833" s="3" t="s">
        <v>424</v>
      </c>
      <c r="G833" s="8" t="s">
        <v>984</v>
      </c>
      <c r="H833" s="8" t="s">
        <v>423</v>
      </c>
      <c r="I833" s="67">
        <v>0</v>
      </c>
      <c r="J833" s="67">
        <f aca="true" t="shared" si="14" ref="J833:J838">I833/0.75</f>
        <v>0</v>
      </c>
    </row>
    <row r="834" spans="1:10" ht="45">
      <c r="A834" s="3" t="s">
        <v>807</v>
      </c>
      <c r="B834" s="66">
        <v>2</v>
      </c>
      <c r="C834" s="8">
        <v>3</v>
      </c>
      <c r="D834" s="3" t="s">
        <v>732</v>
      </c>
      <c r="E834" s="3" t="s">
        <v>697</v>
      </c>
      <c r="F834" s="3" t="s">
        <v>500</v>
      </c>
      <c r="G834" s="8" t="s">
        <v>983</v>
      </c>
      <c r="H834" s="8" t="s">
        <v>423</v>
      </c>
      <c r="I834" s="67">
        <v>84000</v>
      </c>
      <c r="J834" s="67">
        <f t="shared" si="14"/>
        <v>112000</v>
      </c>
    </row>
    <row r="835" spans="1:10" ht="45">
      <c r="A835" s="3" t="s">
        <v>807</v>
      </c>
      <c r="B835" s="66">
        <v>2</v>
      </c>
      <c r="C835" s="8">
        <v>3</v>
      </c>
      <c r="D835" s="3" t="s">
        <v>732</v>
      </c>
      <c r="E835" s="3" t="s">
        <v>697</v>
      </c>
      <c r="F835" s="3" t="s">
        <v>431</v>
      </c>
      <c r="G835" s="8" t="s">
        <v>983</v>
      </c>
      <c r="H835" s="8" t="s">
        <v>423</v>
      </c>
      <c r="I835" s="67">
        <f>54000-8737.5</f>
        <v>45262.5</v>
      </c>
      <c r="J835" s="67">
        <f t="shared" si="14"/>
        <v>60350</v>
      </c>
    </row>
    <row r="836" spans="1:10" ht="45">
      <c r="A836" s="3" t="s">
        <v>807</v>
      </c>
      <c r="B836" s="66">
        <v>2</v>
      </c>
      <c r="C836" s="8">
        <v>3</v>
      </c>
      <c r="D836" s="3" t="s">
        <v>732</v>
      </c>
      <c r="E836" s="3" t="s">
        <v>697</v>
      </c>
      <c r="F836" s="3" t="s">
        <v>432</v>
      </c>
      <c r="G836" s="8" t="s">
        <v>983</v>
      </c>
      <c r="H836" s="8" t="s">
        <v>423</v>
      </c>
      <c r="I836" s="67">
        <f>258000+8737.5</f>
        <v>266737.5</v>
      </c>
      <c r="J836" s="67">
        <f t="shared" si="14"/>
        <v>355650</v>
      </c>
    </row>
    <row r="837" spans="1:10" ht="45">
      <c r="A837" s="3" t="s">
        <v>807</v>
      </c>
      <c r="B837" s="66">
        <v>2</v>
      </c>
      <c r="C837" s="8">
        <v>3</v>
      </c>
      <c r="D837" s="3" t="s">
        <v>732</v>
      </c>
      <c r="E837" s="3" t="s">
        <v>697</v>
      </c>
      <c r="F837" s="4" t="s">
        <v>294</v>
      </c>
      <c r="G837" s="8" t="s">
        <v>984</v>
      </c>
      <c r="H837" s="8" t="s">
        <v>330</v>
      </c>
      <c r="I837" s="67">
        <v>139500</v>
      </c>
      <c r="J837" s="67">
        <f t="shared" si="14"/>
        <v>186000</v>
      </c>
    </row>
    <row r="838" spans="1:10" ht="45">
      <c r="A838" s="3" t="s">
        <v>807</v>
      </c>
      <c r="B838" s="66">
        <v>2</v>
      </c>
      <c r="C838" s="8">
        <v>3</v>
      </c>
      <c r="D838" s="3" t="s">
        <v>732</v>
      </c>
      <c r="E838" s="3" t="s">
        <v>697</v>
      </c>
      <c r="F838" s="3" t="s">
        <v>698</v>
      </c>
      <c r="G838" s="8" t="s">
        <v>984</v>
      </c>
      <c r="H838" s="8" t="s">
        <v>423</v>
      </c>
      <c r="I838" s="67">
        <v>30000</v>
      </c>
      <c r="J838" s="67">
        <f t="shared" si="14"/>
        <v>40000</v>
      </c>
    </row>
    <row r="839" spans="1:10" ht="45">
      <c r="A839" s="24" t="s">
        <v>807</v>
      </c>
      <c r="B839" s="6">
        <v>2</v>
      </c>
      <c r="C839" s="6">
        <v>3</v>
      </c>
      <c r="D839" s="7" t="s">
        <v>732</v>
      </c>
      <c r="E839" s="24" t="s">
        <v>697</v>
      </c>
      <c r="F839" s="24"/>
      <c r="G839" s="6"/>
      <c r="H839" s="6"/>
      <c r="I839" s="13">
        <f>SUBTOTAL(9,I833:I838)</f>
        <v>565500</v>
      </c>
      <c r="J839" s="13">
        <f>SUBTOTAL(9,J833:J838)</f>
        <v>754000</v>
      </c>
    </row>
    <row r="840" spans="1:10" ht="56.25">
      <c r="A840" s="3" t="s">
        <v>561</v>
      </c>
      <c r="B840" s="66">
        <v>2</v>
      </c>
      <c r="C840" s="8">
        <v>1</v>
      </c>
      <c r="D840" s="3" t="s">
        <v>433</v>
      </c>
      <c r="E840" s="3" t="s">
        <v>234</v>
      </c>
      <c r="F840" s="3" t="s">
        <v>434</v>
      </c>
      <c r="G840" s="8" t="s">
        <v>984</v>
      </c>
      <c r="H840" s="8" t="s">
        <v>423</v>
      </c>
      <c r="I840" s="67">
        <v>102000</v>
      </c>
      <c r="J840" s="67">
        <f>I840/0.75</f>
        <v>136000</v>
      </c>
    </row>
    <row r="841" spans="1:10" ht="56.25">
      <c r="A841" s="3" t="s">
        <v>561</v>
      </c>
      <c r="B841" s="66">
        <v>2</v>
      </c>
      <c r="C841" s="8">
        <v>1</v>
      </c>
      <c r="D841" s="3" t="s">
        <v>433</v>
      </c>
      <c r="E841" s="3" t="s">
        <v>234</v>
      </c>
      <c r="F841" s="4" t="s">
        <v>653</v>
      </c>
      <c r="G841" s="8" t="s">
        <v>983</v>
      </c>
      <c r="H841" s="8" t="s">
        <v>330</v>
      </c>
      <c r="I841" s="67">
        <v>223837.5</v>
      </c>
      <c r="J841" s="67">
        <f>I841/0.75</f>
        <v>298450</v>
      </c>
    </row>
    <row r="842" spans="1:10" ht="56.25">
      <c r="A842" s="3" t="s">
        <v>561</v>
      </c>
      <c r="B842" s="66">
        <v>2</v>
      </c>
      <c r="C842" s="8">
        <v>1</v>
      </c>
      <c r="D842" s="3" t="s">
        <v>433</v>
      </c>
      <c r="E842" s="3" t="s">
        <v>234</v>
      </c>
      <c r="F842" s="3" t="s">
        <v>402</v>
      </c>
      <c r="G842" s="8" t="s">
        <v>983</v>
      </c>
      <c r="H842" s="8" t="s">
        <v>423</v>
      </c>
      <c r="I842" s="67">
        <v>75000</v>
      </c>
      <c r="J842" s="67">
        <f>I842/0.75</f>
        <v>100000</v>
      </c>
    </row>
    <row r="843" spans="1:10" ht="56.25">
      <c r="A843" s="3" t="s">
        <v>561</v>
      </c>
      <c r="B843" s="66">
        <v>2</v>
      </c>
      <c r="C843" s="8">
        <v>1</v>
      </c>
      <c r="D843" s="3" t="s">
        <v>433</v>
      </c>
      <c r="E843" s="3" t="s">
        <v>234</v>
      </c>
      <c r="F843" s="3" t="s">
        <v>839</v>
      </c>
      <c r="G843" s="8" t="s">
        <v>984</v>
      </c>
      <c r="H843" s="8" t="s">
        <v>423</v>
      </c>
      <c r="I843" s="67">
        <v>76554</v>
      </c>
      <c r="J843" s="67">
        <f>I843/0.75</f>
        <v>102072</v>
      </c>
    </row>
    <row r="844" spans="1:10" ht="56.25">
      <c r="A844" s="24" t="s">
        <v>561</v>
      </c>
      <c r="B844" s="6">
        <v>2</v>
      </c>
      <c r="C844" s="6">
        <v>1</v>
      </c>
      <c r="D844" s="7" t="s">
        <v>433</v>
      </c>
      <c r="E844" s="24" t="s">
        <v>234</v>
      </c>
      <c r="F844" s="24"/>
      <c r="G844" s="6"/>
      <c r="H844" s="6"/>
      <c r="I844" s="13">
        <f>SUBTOTAL(9,I840:I843)</f>
        <v>477391.5</v>
      </c>
      <c r="J844" s="13">
        <f>SUBTOTAL(9,J840:J843)</f>
        <v>636522</v>
      </c>
    </row>
    <row r="845" spans="1:10" ht="33.75">
      <c r="A845" s="3" t="s">
        <v>565</v>
      </c>
      <c r="B845" s="66">
        <v>2</v>
      </c>
      <c r="C845" s="8">
        <v>1</v>
      </c>
      <c r="D845" s="3" t="s">
        <v>435</v>
      </c>
      <c r="E845" s="3" t="s">
        <v>666</v>
      </c>
      <c r="F845" s="4" t="s">
        <v>654</v>
      </c>
      <c r="G845" s="8" t="s">
        <v>983</v>
      </c>
      <c r="H845" s="8" t="s">
        <v>330</v>
      </c>
      <c r="I845" s="67">
        <v>150000</v>
      </c>
      <c r="J845" s="67">
        <f aca="true" t="shared" si="15" ref="J845:J850">I845/0.75</f>
        <v>200000</v>
      </c>
    </row>
    <row r="846" spans="1:10" ht="33.75">
      <c r="A846" s="3" t="s">
        <v>565</v>
      </c>
      <c r="B846" s="66">
        <v>2</v>
      </c>
      <c r="C846" s="8">
        <v>1</v>
      </c>
      <c r="D846" s="3" t="s">
        <v>435</v>
      </c>
      <c r="E846" s="3" t="s">
        <v>666</v>
      </c>
      <c r="F846" s="3" t="s">
        <v>645</v>
      </c>
      <c r="G846" s="8" t="s">
        <v>983</v>
      </c>
      <c r="H846" s="8" t="s">
        <v>423</v>
      </c>
      <c r="I846" s="67">
        <v>37500</v>
      </c>
      <c r="J846" s="67">
        <f t="shared" si="15"/>
        <v>50000</v>
      </c>
    </row>
    <row r="847" spans="1:10" ht="33.75">
      <c r="A847" s="3" t="s">
        <v>565</v>
      </c>
      <c r="B847" s="66">
        <v>2</v>
      </c>
      <c r="C847" s="8">
        <v>1</v>
      </c>
      <c r="D847" s="3" t="s">
        <v>435</v>
      </c>
      <c r="E847" s="3" t="s">
        <v>666</v>
      </c>
      <c r="F847" s="3" t="s">
        <v>643</v>
      </c>
      <c r="G847" s="8" t="s">
        <v>983</v>
      </c>
      <c r="H847" s="8" t="s">
        <v>423</v>
      </c>
      <c r="I847" s="67">
        <v>37500</v>
      </c>
      <c r="J847" s="67">
        <f t="shared" si="15"/>
        <v>50000</v>
      </c>
    </row>
    <row r="848" spans="1:10" ht="33.75">
      <c r="A848" s="3" t="s">
        <v>565</v>
      </c>
      <c r="B848" s="66">
        <v>2</v>
      </c>
      <c r="C848" s="8">
        <v>1</v>
      </c>
      <c r="D848" s="3" t="s">
        <v>435</v>
      </c>
      <c r="E848" s="3" t="s">
        <v>666</v>
      </c>
      <c r="F848" s="3" t="s">
        <v>436</v>
      </c>
      <c r="G848" s="8" t="s">
        <v>983</v>
      </c>
      <c r="H848" s="8" t="s">
        <v>423</v>
      </c>
      <c r="I848" s="67">
        <v>75000</v>
      </c>
      <c r="J848" s="67">
        <f t="shared" si="15"/>
        <v>100000</v>
      </c>
    </row>
    <row r="849" spans="1:10" ht="33.75">
      <c r="A849" s="3" t="s">
        <v>565</v>
      </c>
      <c r="B849" s="66">
        <v>2</v>
      </c>
      <c r="C849" s="8">
        <v>1</v>
      </c>
      <c r="D849" s="3" t="s">
        <v>435</v>
      </c>
      <c r="E849" s="3" t="s">
        <v>666</v>
      </c>
      <c r="F849" s="3" t="s">
        <v>644</v>
      </c>
      <c r="G849" s="8" t="s">
        <v>983</v>
      </c>
      <c r="H849" s="8" t="s">
        <v>423</v>
      </c>
      <c r="I849" s="67">
        <v>75000</v>
      </c>
      <c r="J849" s="67">
        <f t="shared" si="15"/>
        <v>100000</v>
      </c>
    </row>
    <row r="850" spans="1:10" ht="33.75">
      <c r="A850" s="3" t="s">
        <v>565</v>
      </c>
      <c r="B850" s="66">
        <v>2</v>
      </c>
      <c r="C850" s="8">
        <v>1</v>
      </c>
      <c r="D850" s="3" t="s">
        <v>435</v>
      </c>
      <c r="E850" s="3" t="s">
        <v>666</v>
      </c>
      <c r="F850" s="3" t="s">
        <v>370</v>
      </c>
      <c r="G850" s="8" t="s">
        <v>984</v>
      </c>
      <c r="H850" s="8" t="s">
        <v>423</v>
      </c>
      <c r="I850" s="67">
        <v>150000</v>
      </c>
      <c r="J850" s="67">
        <f t="shared" si="15"/>
        <v>200000</v>
      </c>
    </row>
    <row r="851" spans="1:10" ht="33.75">
      <c r="A851" s="24" t="s">
        <v>565</v>
      </c>
      <c r="B851" s="6">
        <v>2</v>
      </c>
      <c r="C851" s="6">
        <v>1</v>
      </c>
      <c r="D851" s="7" t="s">
        <v>435</v>
      </c>
      <c r="E851" s="24" t="s">
        <v>666</v>
      </c>
      <c r="F851" s="24"/>
      <c r="G851" s="6"/>
      <c r="H851" s="6"/>
      <c r="I851" s="13">
        <f>SUBTOTAL(9,I845:I850)</f>
        <v>525000</v>
      </c>
      <c r="J851" s="13">
        <f>SUBTOTAL(9,J845:J850)</f>
        <v>700000</v>
      </c>
    </row>
    <row r="852" spans="1:10" ht="45">
      <c r="A852" s="3" t="s">
        <v>563</v>
      </c>
      <c r="B852" s="66">
        <v>2</v>
      </c>
      <c r="C852" s="8">
        <v>1</v>
      </c>
      <c r="D852" s="3" t="s">
        <v>437</v>
      </c>
      <c r="E852" s="3" t="s">
        <v>438</v>
      </c>
      <c r="F852" s="4" t="s">
        <v>830</v>
      </c>
      <c r="G852" s="8" t="s">
        <v>983</v>
      </c>
      <c r="H852" s="8" t="s">
        <v>330</v>
      </c>
      <c r="I852" s="67">
        <v>600000</v>
      </c>
      <c r="J852" s="67">
        <f>I852/0.75</f>
        <v>800000</v>
      </c>
    </row>
    <row r="853" spans="1:10" ht="33.75">
      <c r="A853" s="3" t="s">
        <v>563</v>
      </c>
      <c r="B853" s="66">
        <v>2</v>
      </c>
      <c r="C853" s="8">
        <v>1</v>
      </c>
      <c r="D853" s="3" t="s">
        <v>437</v>
      </c>
      <c r="E853" s="3" t="s">
        <v>438</v>
      </c>
      <c r="F853" s="3" t="s">
        <v>828</v>
      </c>
      <c r="G853" s="8" t="s">
        <v>983</v>
      </c>
      <c r="H853" s="8" t="s">
        <v>423</v>
      </c>
      <c r="I853" s="67">
        <v>225000</v>
      </c>
      <c r="J853" s="67">
        <f>I853/0.75</f>
        <v>300000</v>
      </c>
    </row>
    <row r="854" spans="1:10" ht="33.75">
      <c r="A854" s="3" t="s">
        <v>563</v>
      </c>
      <c r="B854" s="66">
        <v>2</v>
      </c>
      <c r="C854" s="8">
        <v>1</v>
      </c>
      <c r="D854" s="3" t="s">
        <v>437</v>
      </c>
      <c r="E854" s="3" t="s">
        <v>438</v>
      </c>
      <c r="F854" s="3" t="s">
        <v>710</v>
      </c>
      <c r="G854" s="8" t="s">
        <v>984</v>
      </c>
      <c r="H854" s="8" t="s">
        <v>423</v>
      </c>
      <c r="I854" s="67">
        <v>0</v>
      </c>
      <c r="J854" s="67">
        <f>I854/0.75</f>
        <v>0</v>
      </c>
    </row>
    <row r="855" spans="1:10" ht="33.75">
      <c r="A855" s="3" t="s">
        <v>563</v>
      </c>
      <c r="B855" s="66">
        <v>2</v>
      </c>
      <c r="C855" s="8">
        <v>1</v>
      </c>
      <c r="D855" s="3" t="s">
        <v>437</v>
      </c>
      <c r="E855" s="3" t="s">
        <v>438</v>
      </c>
      <c r="F855" s="3" t="s">
        <v>711</v>
      </c>
      <c r="G855" s="8" t="s">
        <v>984</v>
      </c>
      <c r="H855" s="8" t="s">
        <v>423</v>
      </c>
      <c r="I855" s="67">
        <v>0</v>
      </c>
      <c r="J855" s="67">
        <f>I855/0.75</f>
        <v>0</v>
      </c>
    </row>
    <row r="856" spans="1:10" ht="33.75">
      <c r="A856" s="24" t="s">
        <v>563</v>
      </c>
      <c r="B856" s="6">
        <v>2</v>
      </c>
      <c r="C856" s="6">
        <v>1</v>
      </c>
      <c r="D856" s="7" t="s">
        <v>437</v>
      </c>
      <c r="E856" s="24" t="s">
        <v>438</v>
      </c>
      <c r="F856" s="24"/>
      <c r="G856" s="6"/>
      <c r="H856" s="6"/>
      <c r="I856" s="13">
        <f>SUBTOTAL(9,I852:I855)</f>
        <v>825000</v>
      </c>
      <c r="J856" s="13">
        <f>SUBTOTAL(9,J852:J855)</f>
        <v>1100000</v>
      </c>
    </row>
    <row r="857" spans="1:10" ht="22.5">
      <c r="A857" s="3" t="s">
        <v>565</v>
      </c>
      <c r="B857" s="66">
        <v>2</v>
      </c>
      <c r="C857" s="8">
        <v>3</v>
      </c>
      <c r="D857" s="3" t="s">
        <v>439</v>
      </c>
      <c r="E857" s="3" t="s">
        <v>449</v>
      </c>
      <c r="F857" s="4" t="s">
        <v>607</v>
      </c>
      <c r="G857" s="8" t="s">
        <v>983</v>
      </c>
      <c r="H857" s="8" t="s">
        <v>330</v>
      </c>
      <c r="I857" s="67">
        <v>270000</v>
      </c>
      <c r="J857" s="67">
        <f aca="true" t="shared" si="16" ref="J857:J869">I857/0.75</f>
        <v>360000</v>
      </c>
    </row>
    <row r="858" spans="1:10" ht="22.5">
      <c r="A858" s="3" t="s">
        <v>565</v>
      </c>
      <c r="B858" s="66">
        <v>2</v>
      </c>
      <c r="C858" s="8">
        <v>3</v>
      </c>
      <c r="D858" s="3" t="s">
        <v>439</v>
      </c>
      <c r="E858" s="3" t="s">
        <v>449</v>
      </c>
      <c r="F858" s="3" t="s">
        <v>1017</v>
      </c>
      <c r="G858" s="8" t="s">
        <v>983</v>
      </c>
      <c r="H858" s="8" t="s">
        <v>423</v>
      </c>
      <c r="I858" s="67">
        <v>240000</v>
      </c>
      <c r="J858" s="67">
        <f t="shared" si="16"/>
        <v>320000</v>
      </c>
    </row>
    <row r="859" spans="1:10" ht="22.5">
      <c r="A859" s="3" t="s">
        <v>565</v>
      </c>
      <c r="B859" s="66">
        <v>2</v>
      </c>
      <c r="C859" s="8">
        <v>3</v>
      </c>
      <c r="D859" s="3" t="s">
        <v>439</v>
      </c>
      <c r="E859" s="3" t="s">
        <v>449</v>
      </c>
      <c r="F859" s="3" t="s">
        <v>450</v>
      </c>
      <c r="G859" s="8" t="s">
        <v>983</v>
      </c>
      <c r="H859" s="8" t="s">
        <v>423</v>
      </c>
      <c r="I859" s="67">
        <v>75000</v>
      </c>
      <c r="J859" s="67">
        <f t="shared" si="16"/>
        <v>100000</v>
      </c>
    </row>
    <row r="860" spans="1:10" ht="22.5">
      <c r="A860" s="3" t="s">
        <v>565</v>
      </c>
      <c r="B860" s="66">
        <v>2</v>
      </c>
      <c r="C860" s="8">
        <v>3</v>
      </c>
      <c r="D860" s="3" t="s">
        <v>439</v>
      </c>
      <c r="E860" s="3" t="s">
        <v>449</v>
      </c>
      <c r="F860" s="3" t="s">
        <v>351</v>
      </c>
      <c r="G860" s="8" t="s">
        <v>983</v>
      </c>
      <c r="H860" s="8" t="s">
        <v>423</v>
      </c>
      <c r="I860" s="67">
        <v>156000</v>
      </c>
      <c r="J860" s="67">
        <f t="shared" si="16"/>
        <v>208000</v>
      </c>
    </row>
    <row r="861" spans="1:10" ht="22.5">
      <c r="A861" s="3" t="s">
        <v>565</v>
      </c>
      <c r="B861" s="66">
        <v>2</v>
      </c>
      <c r="C861" s="8">
        <v>3</v>
      </c>
      <c r="D861" s="3" t="s">
        <v>439</v>
      </c>
      <c r="E861" s="3" t="s">
        <v>449</v>
      </c>
      <c r="F861" s="3" t="s">
        <v>259</v>
      </c>
      <c r="G861" s="8" t="s">
        <v>983</v>
      </c>
      <c r="H861" s="8" t="s">
        <v>423</v>
      </c>
      <c r="I861" s="67">
        <v>150000</v>
      </c>
      <c r="J861" s="67">
        <f t="shared" si="16"/>
        <v>200000</v>
      </c>
    </row>
    <row r="862" spans="1:10" ht="22.5">
      <c r="A862" s="3" t="s">
        <v>565</v>
      </c>
      <c r="B862" s="66">
        <v>2</v>
      </c>
      <c r="C862" s="8">
        <v>3</v>
      </c>
      <c r="D862" s="3" t="s">
        <v>439</v>
      </c>
      <c r="E862" s="3" t="s">
        <v>449</v>
      </c>
      <c r="F862" s="3" t="s">
        <v>444</v>
      </c>
      <c r="G862" s="8" t="s">
        <v>983</v>
      </c>
      <c r="H862" s="8" t="s">
        <v>423</v>
      </c>
      <c r="I862" s="67">
        <v>150000</v>
      </c>
      <c r="J862" s="67">
        <f t="shared" si="16"/>
        <v>200000</v>
      </c>
    </row>
    <row r="863" spans="1:10" ht="22.5">
      <c r="A863" s="3" t="s">
        <v>565</v>
      </c>
      <c r="B863" s="66">
        <v>2</v>
      </c>
      <c r="C863" s="8">
        <v>3</v>
      </c>
      <c r="D863" s="3" t="s">
        <v>439</v>
      </c>
      <c r="E863" s="3" t="s">
        <v>449</v>
      </c>
      <c r="F863" s="3" t="s">
        <v>850</v>
      </c>
      <c r="G863" s="8" t="s">
        <v>983</v>
      </c>
      <c r="H863" s="8" t="s">
        <v>423</v>
      </c>
      <c r="I863" s="67">
        <v>240000</v>
      </c>
      <c r="J863" s="67">
        <f t="shared" si="16"/>
        <v>320000</v>
      </c>
    </row>
    <row r="864" spans="1:10" ht="22.5">
      <c r="A864" s="3" t="s">
        <v>565</v>
      </c>
      <c r="B864" s="66">
        <v>2</v>
      </c>
      <c r="C864" s="8">
        <v>3</v>
      </c>
      <c r="D864" s="3" t="s">
        <v>439</v>
      </c>
      <c r="E864" s="3" t="s">
        <v>449</v>
      </c>
      <c r="F864" s="3" t="s">
        <v>451</v>
      </c>
      <c r="G864" s="8" t="s">
        <v>984</v>
      </c>
      <c r="H864" s="8" t="s">
        <v>423</v>
      </c>
      <c r="I864" s="67">
        <v>92625</v>
      </c>
      <c r="J864" s="67">
        <f t="shared" si="16"/>
        <v>123500</v>
      </c>
    </row>
    <row r="865" spans="1:10" ht="22.5">
      <c r="A865" s="3" t="s">
        <v>565</v>
      </c>
      <c r="B865" s="66">
        <v>2</v>
      </c>
      <c r="C865" s="8">
        <v>3</v>
      </c>
      <c r="D865" s="3" t="s">
        <v>439</v>
      </c>
      <c r="E865" s="3" t="s">
        <v>449</v>
      </c>
      <c r="F865" s="3" t="s">
        <v>537</v>
      </c>
      <c r="G865" s="8" t="s">
        <v>984</v>
      </c>
      <c r="H865" s="8" t="s">
        <v>423</v>
      </c>
      <c r="I865" s="67">
        <v>109831.11</v>
      </c>
      <c r="J865" s="67">
        <f t="shared" si="16"/>
        <v>146441.48</v>
      </c>
    </row>
    <row r="866" spans="1:10" ht="22.5">
      <c r="A866" s="3" t="s">
        <v>565</v>
      </c>
      <c r="B866" s="66">
        <v>2</v>
      </c>
      <c r="C866" s="8">
        <v>3</v>
      </c>
      <c r="D866" s="3" t="s">
        <v>439</v>
      </c>
      <c r="E866" s="3" t="s">
        <v>449</v>
      </c>
      <c r="F866" s="3" t="s">
        <v>538</v>
      </c>
      <c r="G866" s="8" t="s">
        <v>984</v>
      </c>
      <c r="H866" s="8" t="s">
        <v>423</v>
      </c>
      <c r="I866" s="67">
        <v>75562.5</v>
      </c>
      <c r="J866" s="67">
        <f t="shared" si="16"/>
        <v>100750</v>
      </c>
    </row>
    <row r="867" spans="1:10" ht="22.5">
      <c r="A867" s="3" t="s">
        <v>565</v>
      </c>
      <c r="B867" s="66">
        <v>2</v>
      </c>
      <c r="C867" s="8">
        <v>3</v>
      </c>
      <c r="D867" s="3" t="s">
        <v>439</v>
      </c>
      <c r="E867" s="3" t="s">
        <v>449</v>
      </c>
      <c r="F867" s="3" t="s">
        <v>440</v>
      </c>
      <c r="G867" s="8" t="s">
        <v>983</v>
      </c>
      <c r="H867" s="8" t="s">
        <v>423</v>
      </c>
      <c r="I867" s="67">
        <v>75000</v>
      </c>
      <c r="J867" s="67">
        <f t="shared" si="16"/>
        <v>100000</v>
      </c>
    </row>
    <row r="868" spans="1:10" ht="22.5">
      <c r="A868" s="3" t="s">
        <v>565</v>
      </c>
      <c r="B868" s="66">
        <v>2</v>
      </c>
      <c r="C868" s="8">
        <v>3</v>
      </c>
      <c r="D868" s="3" t="s">
        <v>439</v>
      </c>
      <c r="E868" s="3" t="s">
        <v>449</v>
      </c>
      <c r="F868" s="3" t="s">
        <v>539</v>
      </c>
      <c r="G868" s="8" t="s">
        <v>984</v>
      </c>
      <c r="H868" s="8" t="s">
        <v>423</v>
      </c>
      <c r="I868" s="67">
        <v>97597.5</v>
      </c>
      <c r="J868" s="67">
        <f t="shared" si="16"/>
        <v>130130</v>
      </c>
    </row>
    <row r="869" spans="1:10" ht="22.5">
      <c r="A869" s="3" t="s">
        <v>565</v>
      </c>
      <c r="B869" s="66">
        <v>2</v>
      </c>
      <c r="C869" s="8">
        <v>3</v>
      </c>
      <c r="D869" s="3" t="s">
        <v>439</v>
      </c>
      <c r="E869" s="3" t="s">
        <v>449</v>
      </c>
      <c r="F869" s="3" t="s">
        <v>346</v>
      </c>
      <c r="G869" s="8" t="s">
        <v>984</v>
      </c>
      <c r="H869" s="8" t="s">
        <v>423</v>
      </c>
      <c r="I869" s="67">
        <v>84217.09</v>
      </c>
      <c r="J869" s="67">
        <f t="shared" si="16"/>
        <v>112289.45333333332</v>
      </c>
    </row>
    <row r="870" spans="1:10" ht="22.5">
      <c r="A870" s="24" t="s">
        <v>565</v>
      </c>
      <c r="B870" s="6">
        <v>2</v>
      </c>
      <c r="C870" s="6">
        <v>3</v>
      </c>
      <c r="D870" s="7" t="s">
        <v>439</v>
      </c>
      <c r="E870" s="24" t="s">
        <v>449</v>
      </c>
      <c r="F870" s="24"/>
      <c r="G870" s="6"/>
      <c r="H870" s="6"/>
      <c r="I870" s="13">
        <f>SUBTOTAL(9,I857:I869)</f>
        <v>1815833.2000000002</v>
      </c>
      <c r="J870" s="13">
        <f>SUBTOTAL(9,J857:J869)</f>
        <v>2421110.933333333</v>
      </c>
    </row>
    <row r="871" spans="1:10" ht="22.5">
      <c r="A871" s="3" t="s">
        <v>807</v>
      </c>
      <c r="B871" s="66">
        <v>2</v>
      </c>
      <c r="C871" s="8">
        <v>4</v>
      </c>
      <c r="D871" s="3" t="s">
        <v>613</v>
      </c>
      <c r="E871" s="3" t="s">
        <v>614</v>
      </c>
      <c r="F871" s="3" t="s">
        <v>578</v>
      </c>
      <c r="G871" s="8" t="s">
        <v>984</v>
      </c>
      <c r="H871" s="8" t="s">
        <v>423</v>
      </c>
      <c r="I871" s="67">
        <v>19500</v>
      </c>
      <c r="J871" s="67">
        <f>I871/0.75</f>
        <v>26000</v>
      </c>
    </row>
    <row r="872" spans="1:10" ht="22.5">
      <c r="A872" s="3" t="s">
        <v>807</v>
      </c>
      <c r="B872" s="66">
        <v>2</v>
      </c>
      <c r="C872" s="8">
        <v>4</v>
      </c>
      <c r="D872" s="3" t="s">
        <v>613</v>
      </c>
      <c r="E872" s="3" t="s">
        <v>614</v>
      </c>
      <c r="F872" s="3" t="s">
        <v>579</v>
      </c>
      <c r="G872" s="8" t="s">
        <v>983</v>
      </c>
      <c r="H872" s="8" t="s">
        <v>423</v>
      </c>
      <c r="I872" s="67">
        <v>116700</v>
      </c>
      <c r="J872" s="67">
        <f>I872/0.75</f>
        <v>155600</v>
      </c>
    </row>
    <row r="873" spans="1:10" ht="22.5">
      <c r="A873" s="3" t="s">
        <v>807</v>
      </c>
      <c r="B873" s="66">
        <v>2</v>
      </c>
      <c r="C873" s="8">
        <v>4</v>
      </c>
      <c r="D873" s="3" t="s">
        <v>613</v>
      </c>
      <c r="E873" s="3" t="s">
        <v>614</v>
      </c>
      <c r="F873" s="4" t="s">
        <v>615</v>
      </c>
      <c r="G873" s="8" t="s">
        <v>983</v>
      </c>
      <c r="H873" s="8" t="s">
        <v>330</v>
      </c>
      <c r="I873" s="67">
        <v>300000</v>
      </c>
      <c r="J873" s="67">
        <f>I873/0.75</f>
        <v>400000</v>
      </c>
    </row>
    <row r="874" spans="1:10" ht="22.5">
      <c r="A874" s="3" t="s">
        <v>807</v>
      </c>
      <c r="B874" s="66">
        <v>2</v>
      </c>
      <c r="C874" s="8">
        <v>4</v>
      </c>
      <c r="D874" s="3" t="s">
        <v>613</v>
      </c>
      <c r="E874" s="3" t="s">
        <v>614</v>
      </c>
      <c r="F874" s="3" t="s">
        <v>263</v>
      </c>
      <c r="G874" s="8" t="s">
        <v>984</v>
      </c>
      <c r="H874" s="8" t="s">
        <v>423</v>
      </c>
      <c r="I874" s="67">
        <v>168794.77</v>
      </c>
      <c r="J874" s="67">
        <f>I874/0.75</f>
        <v>225059.69333333333</v>
      </c>
    </row>
    <row r="875" spans="1:10" ht="22.5">
      <c r="A875" s="24" t="s">
        <v>807</v>
      </c>
      <c r="B875" s="6">
        <v>2</v>
      </c>
      <c r="C875" s="6">
        <v>4</v>
      </c>
      <c r="D875" s="7" t="s">
        <v>613</v>
      </c>
      <c r="E875" s="24" t="s">
        <v>614</v>
      </c>
      <c r="F875" s="24"/>
      <c r="G875" s="6"/>
      <c r="H875" s="6"/>
      <c r="I875" s="13">
        <f>SUBTOTAL(9,I871:I874)</f>
        <v>604994.77</v>
      </c>
      <c r="J875" s="13">
        <f>SUBTOTAL(9,J871:J874)</f>
        <v>806659.6933333334</v>
      </c>
    </row>
    <row r="876" spans="1:10" ht="45">
      <c r="A876" s="3" t="s">
        <v>561</v>
      </c>
      <c r="B876" s="66">
        <v>2</v>
      </c>
      <c r="C876" s="8">
        <v>3</v>
      </c>
      <c r="D876" s="3" t="s">
        <v>616</v>
      </c>
      <c r="E876" s="3" t="s">
        <v>301</v>
      </c>
      <c r="F876" s="3" t="s">
        <v>434</v>
      </c>
      <c r="G876" s="8" t="s">
        <v>984</v>
      </c>
      <c r="H876" s="8" t="s">
        <v>423</v>
      </c>
      <c r="I876" s="67">
        <v>150000</v>
      </c>
      <c r="J876" s="67">
        <f aca="true" t="shared" si="17" ref="J876:J882">I876/0.75</f>
        <v>200000</v>
      </c>
    </row>
    <row r="877" spans="1:10" ht="45">
      <c r="A877" s="3" t="s">
        <v>561</v>
      </c>
      <c r="B877" s="66">
        <v>2</v>
      </c>
      <c r="C877" s="8">
        <v>3</v>
      </c>
      <c r="D877" s="3" t="s">
        <v>616</v>
      </c>
      <c r="E877" s="3" t="s">
        <v>301</v>
      </c>
      <c r="F877" s="4" t="s">
        <v>302</v>
      </c>
      <c r="G877" s="8" t="s">
        <v>983</v>
      </c>
      <c r="H877" s="8" t="s">
        <v>330</v>
      </c>
      <c r="I877" s="67">
        <v>146175</v>
      </c>
      <c r="J877" s="67">
        <f t="shared" si="17"/>
        <v>194900</v>
      </c>
    </row>
    <row r="878" spans="1:10" ht="45">
      <c r="A878" s="3" t="s">
        <v>561</v>
      </c>
      <c r="B878" s="66">
        <v>2</v>
      </c>
      <c r="C878" s="8">
        <v>3</v>
      </c>
      <c r="D878" s="3" t="s">
        <v>616</v>
      </c>
      <c r="E878" s="3" t="s">
        <v>301</v>
      </c>
      <c r="F878" s="3" t="s">
        <v>617</v>
      </c>
      <c r="G878" s="8" t="s">
        <v>983</v>
      </c>
      <c r="H878" s="8" t="s">
        <v>423</v>
      </c>
      <c r="I878" s="68">
        <f>100149.8-60906.72-19775.53</f>
        <v>19467.550000000003</v>
      </c>
      <c r="J878" s="67">
        <f t="shared" si="17"/>
        <v>25956.733333333337</v>
      </c>
    </row>
    <row r="879" spans="1:10" ht="45">
      <c r="A879" s="3" t="s">
        <v>561</v>
      </c>
      <c r="B879" s="66">
        <v>2</v>
      </c>
      <c r="C879" s="8">
        <v>3</v>
      </c>
      <c r="D879" s="3" t="s">
        <v>616</v>
      </c>
      <c r="E879" s="3" t="s">
        <v>301</v>
      </c>
      <c r="F879" s="3" t="s">
        <v>404</v>
      </c>
      <c r="G879" s="8" t="s">
        <v>984</v>
      </c>
      <c r="H879" s="8" t="s">
        <v>423</v>
      </c>
      <c r="I879" s="68">
        <v>100000</v>
      </c>
      <c r="J879" s="67">
        <f t="shared" si="17"/>
        <v>133333.33333333334</v>
      </c>
    </row>
    <row r="880" spans="1:10" ht="45">
      <c r="A880" s="3" t="s">
        <v>561</v>
      </c>
      <c r="B880" s="66">
        <v>2</v>
      </c>
      <c r="C880" s="8">
        <v>3</v>
      </c>
      <c r="D880" s="3" t="s">
        <v>616</v>
      </c>
      <c r="E880" s="3" t="s">
        <v>301</v>
      </c>
      <c r="F880" s="3" t="s">
        <v>297</v>
      </c>
      <c r="G880" s="8" t="s">
        <v>984</v>
      </c>
      <c r="H880" s="8" t="s">
        <v>423</v>
      </c>
      <c r="I880" s="68">
        <v>80250</v>
      </c>
      <c r="J880" s="67">
        <f t="shared" si="17"/>
        <v>107000</v>
      </c>
    </row>
    <row r="881" spans="1:10" ht="45">
      <c r="A881" s="3" t="s">
        <v>561</v>
      </c>
      <c r="B881" s="66">
        <v>2</v>
      </c>
      <c r="C881" s="8">
        <v>3</v>
      </c>
      <c r="D881" s="3" t="s">
        <v>616</v>
      </c>
      <c r="E881" s="3" t="s">
        <v>301</v>
      </c>
      <c r="F881" s="3" t="s">
        <v>618</v>
      </c>
      <c r="G881" s="8" t="s">
        <v>983</v>
      </c>
      <c r="H881" s="8" t="s">
        <v>423</v>
      </c>
      <c r="I881" s="68">
        <v>138476.61</v>
      </c>
      <c r="J881" s="67">
        <f t="shared" si="17"/>
        <v>184635.47999999998</v>
      </c>
    </row>
    <row r="882" spans="1:10" ht="45">
      <c r="A882" s="3" t="s">
        <v>561</v>
      </c>
      <c r="B882" s="66">
        <v>2</v>
      </c>
      <c r="C882" s="8">
        <v>3</v>
      </c>
      <c r="D882" s="3" t="s">
        <v>616</v>
      </c>
      <c r="E882" s="3" t="s">
        <v>301</v>
      </c>
      <c r="F882" s="3" t="s">
        <v>303</v>
      </c>
      <c r="G882" s="8" t="s">
        <v>983</v>
      </c>
      <c r="H882" s="8" t="s">
        <v>423</v>
      </c>
      <c r="I882" s="68">
        <f>39375+60906.72+19775.53</f>
        <v>120057.25</v>
      </c>
      <c r="J882" s="67">
        <f t="shared" si="17"/>
        <v>160076.33333333334</v>
      </c>
    </row>
    <row r="883" spans="1:10" ht="45">
      <c r="A883" s="24" t="s">
        <v>561</v>
      </c>
      <c r="B883" s="6">
        <v>2</v>
      </c>
      <c r="C883" s="6">
        <v>3</v>
      </c>
      <c r="D883" s="7" t="s">
        <v>616</v>
      </c>
      <c r="E883" s="24" t="s">
        <v>301</v>
      </c>
      <c r="F883" s="24"/>
      <c r="G883" s="6"/>
      <c r="H883" s="6"/>
      <c r="I883" s="13">
        <f>SUBTOTAL(9,I876:I882)</f>
        <v>754426.4099999999</v>
      </c>
      <c r="J883" s="13">
        <f>SUBTOTAL(9,J876:J882)</f>
        <v>1005901.88</v>
      </c>
    </row>
    <row r="884" spans="1:10" ht="22.5">
      <c r="A884" s="3" t="s">
        <v>807</v>
      </c>
      <c r="B884" s="66">
        <v>2</v>
      </c>
      <c r="C884" s="8">
        <v>1</v>
      </c>
      <c r="D884" s="3" t="s">
        <v>521</v>
      </c>
      <c r="E884" s="3" t="s">
        <v>327</v>
      </c>
      <c r="F884" s="3" t="s">
        <v>331</v>
      </c>
      <c r="G884" s="8" t="s">
        <v>983</v>
      </c>
      <c r="H884" s="8" t="s">
        <v>423</v>
      </c>
      <c r="I884" s="67">
        <v>124500</v>
      </c>
      <c r="J884" s="67">
        <f>I884/0.75</f>
        <v>166000</v>
      </c>
    </row>
    <row r="885" spans="1:10" ht="22.5">
      <c r="A885" s="3" t="s">
        <v>807</v>
      </c>
      <c r="B885" s="66">
        <v>2</v>
      </c>
      <c r="C885" s="8">
        <v>1</v>
      </c>
      <c r="D885" s="3" t="s">
        <v>521</v>
      </c>
      <c r="E885" s="3" t="s">
        <v>327</v>
      </c>
      <c r="F885" s="3" t="s">
        <v>284</v>
      </c>
      <c r="G885" s="8" t="s">
        <v>984</v>
      </c>
      <c r="H885" s="8" t="s">
        <v>423</v>
      </c>
      <c r="I885" s="67">
        <v>45000</v>
      </c>
      <c r="J885" s="67">
        <f>I885/0.75</f>
        <v>60000</v>
      </c>
    </row>
    <row r="886" spans="1:10" ht="22.5">
      <c r="A886" s="3" t="s">
        <v>807</v>
      </c>
      <c r="B886" s="66">
        <v>2</v>
      </c>
      <c r="C886" s="8">
        <v>1</v>
      </c>
      <c r="D886" s="3" t="s">
        <v>521</v>
      </c>
      <c r="E886" s="3" t="s">
        <v>327</v>
      </c>
      <c r="F886" s="4" t="s">
        <v>759</v>
      </c>
      <c r="G886" s="8" t="s">
        <v>984</v>
      </c>
      <c r="H886" s="8" t="s">
        <v>330</v>
      </c>
      <c r="I886" s="67">
        <v>127500</v>
      </c>
      <c r="J886" s="67">
        <f>I886/0.75</f>
        <v>170000</v>
      </c>
    </row>
    <row r="887" spans="1:10" ht="22.5">
      <c r="A887" s="24" t="s">
        <v>807</v>
      </c>
      <c r="B887" s="6">
        <v>2</v>
      </c>
      <c r="C887" s="6">
        <v>1</v>
      </c>
      <c r="D887" s="7" t="s">
        <v>521</v>
      </c>
      <c r="E887" s="24" t="s">
        <v>327</v>
      </c>
      <c r="F887" s="24"/>
      <c r="G887" s="6"/>
      <c r="H887" s="6"/>
      <c r="I887" s="13">
        <f>SUBTOTAL(9,I884:I886)</f>
        <v>297000</v>
      </c>
      <c r="J887" s="13">
        <f>SUBTOTAL(9,J884:J886)</f>
        <v>396000</v>
      </c>
    </row>
    <row r="888" spans="1:10" ht="33.75">
      <c r="A888" s="3" t="s">
        <v>563</v>
      </c>
      <c r="B888" s="66">
        <v>2</v>
      </c>
      <c r="C888" s="8">
        <v>2</v>
      </c>
      <c r="D888" s="3" t="s">
        <v>760</v>
      </c>
      <c r="E888" s="3" t="s">
        <v>244</v>
      </c>
      <c r="F888" s="4" t="s">
        <v>761</v>
      </c>
      <c r="G888" s="8" t="s">
        <v>983</v>
      </c>
      <c r="H888" s="8" t="s">
        <v>330</v>
      </c>
      <c r="I888" s="67">
        <v>561000</v>
      </c>
      <c r="J888" s="67">
        <f>I888/0.75</f>
        <v>748000</v>
      </c>
    </row>
    <row r="889" spans="1:10" ht="33.75">
      <c r="A889" s="3" t="s">
        <v>563</v>
      </c>
      <c r="B889" s="66">
        <v>2</v>
      </c>
      <c r="C889" s="8">
        <v>2</v>
      </c>
      <c r="D889" s="3" t="s">
        <v>760</v>
      </c>
      <c r="E889" s="3" t="s">
        <v>244</v>
      </c>
      <c r="F889" s="3" t="s">
        <v>762</v>
      </c>
      <c r="G889" s="8" t="s">
        <v>984</v>
      </c>
      <c r="H889" s="8" t="s">
        <v>423</v>
      </c>
      <c r="I889" s="67">
        <v>0</v>
      </c>
      <c r="J889" s="67">
        <f>I889/0.75</f>
        <v>0</v>
      </c>
    </row>
    <row r="890" spans="1:10" ht="33.75">
      <c r="A890" s="24" t="s">
        <v>563</v>
      </c>
      <c r="B890" s="6">
        <v>2</v>
      </c>
      <c r="C890" s="6">
        <v>2</v>
      </c>
      <c r="D890" s="7" t="s">
        <v>760</v>
      </c>
      <c r="E890" s="24" t="s">
        <v>244</v>
      </c>
      <c r="F890" s="24"/>
      <c r="G890" s="6"/>
      <c r="H890" s="6"/>
      <c r="I890" s="13">
        <f>SUBTOTAL(9,I888:I889)</f>
        <v>561000</v>
      </c>
      <c r="J890" s="13">
        <f>SUBTOTAL(9,J888:J889)</f>
        <v>748000</v>
      </c>
    </row>
    <row r="891" spans="1:10" ht="33.75">
      <c r="A891" s="3" t="s">
        <v>564</v>
      </c>
      <c r="B891" s="66">
        <v>2</v>
      </c>
      <c r="C891" s="8">
        <v>1</v>
      </c>
      <c r="D891" s="3" t="s">
        <v>763</v>
      </c>
      <c r="E891" s="3" t="s">
        <v>236</v>
      </c>
      <c r="F891" s="4" t="s">
        <v>764</v>
      </c>
      <c r="G891" s="8" t="s">
        <v>983</v>
      </c>
      <c r="H891" s="8" t="s">
        <v>330</v>
      </c>
      <c r="I891" s="67">
        <v>433410.6</v>
      </c>
      <c r="J891" s="67">
        <f>I891/0.75</f>
        <v>577880.7999999999</v>
      </c>
    </row>
    <row r="892" spans="1:10" ht="33.75">
      <c r="A892" s="3" t="s">
        <v>564</v>
      </c>
      <c r="B892" s="66">
        <v>2</v>
      </c>
      <c r="C892" s="8">
        <v>1</v>
      </c>
      <c r="D892" s="3" t="s">
        <v>763</v>
      </c>
      <c r="E892" s="3" t="s">
        <v>236</v>
      </c>
      <c r="F892" s="3" t="s">
        <v>519</v>
      </c>
      <c r="G892" s="8" t="s">
        <v>984</v>
      </c>
      <c r="H892" s="8" t="s">
        <v>423</v>
      </c>
      <c r="I892" s="67">
        <v>80000</v>
      </c>
      <c r="J892" s="67">
        <f>I892/0.75</f>
        <v>106666.66666666667</v>
      </c>
    </row>
    <row r="893" spans="1:10" ht="33.75">
      <c r="A893" s="24" t="s">
        <v>564</v>
      </c>
      <c r="B893" s="6">
        <v>2</v>
      </c>
      <c r="C893" s="6">
        <v>1</v>
      </c>
      <c r="D893" s="7" t="s">
        <v>763</v>
      </c>
      <c r="E893" s="24" t="s">
        <v>236</v>
      </c>
      <c r="F893" s="24"/>
      <c r="G893" s="6"/>
      <c r="H893" s="6"/>
      <c r="I893" s="13">
        <f>SUBTOTAL(9,I891:I892)</f>
        <v>513410.6</v>
      </c>
      <c r="J893" s="13">
        <f>SUBTOTAL(9,J891:J892)</f>
        <v>684547.4666666666</v>
      </c>
    </row>
    <row r="894" spans="1:10" ht="33.75">
      <c r="A894" s="1" t="s">
        <v>564</v>
      </c>
      <c r="B894" s="66">
        <v>2</v>
      </c>
      <c r="C894" s="2">
        <v>4</v>
      </c>
      <c r="D894" s="1" t="s">
        <v>765</v>
      </c>
      <c r="E894" s="1" t="s">
        <v>240</v>
      </c>
      <c r="F894" s="5" t="s">
        <v>764</v>
      </c>
      <c r="G894" s="2" t="s">
        <v>983</v>
      </c>
      <c r="H894" s="2" t="s">
        <v>330</v>
      </c>
      <c r="I894" s="67">
        <v>437351.5</v>
      </c>
      <c r="J894" s="67">
        <f>I894/0.75</f>
        <v>583135.3333333334</v>
      </c>
    </row>
    <row r="895" spans="1:10" ht="33.75">
      <c r="A895" s="3" t="s">
        <v>564</v>
      </c>
      <c r="B895" s="66">
        <v>2</v>
      </c>
      <c r="C895" s="8">
        <v>4</v>
      </c>
      <c r="D895" s="3" t="s">
        <v>765</v>
      </c>
      <c r="E895" s="1" t="s">
        <v>240</v>
      </c>
      <c r="F895" s="3" t="s">
        <v>519</v>
      </c>
      <c r="G895" s="8" t="s">
        <v>984</v>
      </c>
      <c r="H895" s="8" t="s">
        <v>423</v>
      </c>
      <c r="I895" s="67">
        <v>80000</v>
      </c>
      <c r="J895" s="67">
        <f>I895/0.75</f>
        <v>106666.66666666667</v>
      </c>
    </row>
    <row r="896" spans="1:10" ht="33.75">
      <c r="A896" s="24" t="s">
        <v>564</v>
      </c>
      <c r="B896" s="6">
        <v>2</v>
      </c>
      <c r="C896" s="6">
        <v>4</v>
      </c>
      <c r="D896" s="7" t="s">
        <v>765</v>
      </c>
      <c r="E896" s="24" t="s">
        <v>240</v>
      </c>
      <c r="F896" s="24"/>
      <c r="G896" s="6"/>
      <c r="H896" s="6"/>
      <c r="I896" s="13">
        <f>SUBTOTAL(9,I894:I895)</f>
        <v>517351.5</v>
      </c>
      <c r="J896" s="13">
        <f>SUBTOTAL(9,J894:J895)</f>
        <v>689802</v>
      </c>
    </row>
    <row r="897" spans="1:10" ht="33.75">
      <c r="A897" s="3" t="s">
        <v>565</v>
      </c>
      <c r="B897" s="66">
        <v>2</v>
      </c>
      <c r="C897" s="8">
        <v>1</v>
      </c>
      <c r="D897" s="3" t="s">
        <v>766</v>
      </c>
      <c r="E897" s="3" t="s">
        <v>767</v>
      </c>
      <c r="F897" s="4" t="s">
        <v>680</v>
      </c>
      <c r="G897" s="8" t="s">
        <v>983</v>
      </c>
      <c r="H897" s="8" t="s">
        <v>330</v>
      </c>
      <c r="I897" s="67">
        <v>381450</v>
      </c>
      <c r="J897" s="67">
        <f aca="true" t="shared" si="18" ref="J897:J902">I897/0.75</f>
        <v>508600</v>
      </c>
    </row>
    <row r="898" spans="1:10" ht="33.75">
      <c r="A898" s="3" t="s">
        <v>565</v>
      </c>
      <c r="B898" s="66">
        <v>2</v>
      </c>
      <c r="C898" s="8">
        <v>1</v>
      </c>
      <c r="D898" s="3" t="s">
        <v>766</v>
      </c>
      <c r="E898" s="3" t="s">
        <v>767</v>
      </c>
      <c r="F898" s="3" t="s">
        <v>681</v>
      </c>
      <c r="G898" s="8" t="s">
        <v>983</v>
      </c>
      <c r="H898" s="8" t="s">
        <v>423</v>
      </c>
      <c r="I898" s="67">
        <v>213487.5</v>
      </c>
      <c r="J898" s="67">
        <f t="shared" si="18"/>
        <v>284650</v>
      </c>
    </row>
    <row r="899" spans="1:10" ht="22.5">
      <c r="A899" s="3" t="s">
        <v>565</v>
      </c>
      <c r="B899" s="66">
        <v>2</v>
      </c>
      <c r="C899" s="8">
        <v>1</v>
      </c>
      <c r="D899" s="3" t="s">
        <v>766</v>
      </c>
      <c r="E899" s="3" t="s">
        <v>767</v>
      </c>
      <c r="F899" s="3" t="s">
        <v>871</v>
      </c>
      <c r="G899" s="8" t="s">
        <v>983</v>
      </c>
      <c r="H899" s="8" t="s">
        <v>423</v>
      </c>
      <c r="I899" s="67">
        <v>188737.5</v>
      </c>
      <c r="J899" s="67">
        <f t="shared" si="18"/>
        <v>251650</v>
      </c>
    </row>
    <row r="900" spans="1:10" ht="22.5">
      <c r="A900" s="3" t="s">
        <v>565</v>
      </c>
      <c r="B900" s="66">
        <v>2</v>
      </c>
      <c r="C900" s="8">
        <v>1</v>
      </c>
      <c r="D900" s="3" t="s">
        <v>766</v>
      </c>
      <c r="E900" s="3" t="s">
        <v>767</v>
      </c>
      <c r="F900" s="3" t="s">
        <v>799</v>
      </c>
      <c r="G900" s="8" t="s">
        <v>984</v>
      </c>
      <c r="H900" s="8" t="s">
        <v>423</v>
      </c>
      <c r="I900" s="67">
        <v>20000</v>
      </c>
      <c r="J900" s="67">
        <f t="shared" si="18"/>
        <v>26666.666666666668</v>
      </c>
    </row>
    <row r="901" spans="1:10" ht="22.5">
      <c r="A901" s="3" t="s">
        <v>565</v>
      </c>
      <c r="B901" s="66">
        <v>2</v>
      </c>
      <c r="C901" s="8">
        <v>1</v>
      </c>
      <c r="D901" s="3" t="s">
        <v>766</v>
      </c>
      <c r="E901" s="3" t="s">
        <v>767</v>
      </c>
      <c r="F901" s="3" t="s">
        <v>769</v>
      </c>
      <c r="G901" s="8" t="s">
        <v>984</v>
      </c>
      <c r="H901" s="8" t="s">
        <v>423</v>
      </c>
      <c r="I901" s="67">
        <v>20000</v>
      </c>
      <c r="J901" s="67">
        <f t="shared" si="18"/>
        <v>26666.666666666668</v>
      </c>
    </row>
    <row r="902" spans="1:10" ht="22.5">
      <c r="A902" s="3" t="s">
        <v>565</v>
      </c>
      <c r="B902" s="66">
        <v>2</v>
      </c>
      <c r="C902" s="8">
        <v>1</v>
      </c>
      <c r="D902" s="3" t="s">
        <v>766</v>
      </c>
      <c r="E902" s="3" t="s">
        <v>767</v>
      </c>
      <c r="F902" s="3" t="s">
        <v>872</v>
      </c>
      <c r="G902" s="8" t="s">
        <v>984</v>
      </c>
      <c r="H902" s="8" t="s">
        <v>423</v>
      </c>
      <c r="I902" s="67">
        <v>20000</v>
      </c>
      <c r="J902" s="67">
        <f t="shared" si="18"/>
        <v>26666.666666666668</v>
      </c>
    </row>
    <row r="903" spans="1:10" ht="22.5">
      <c r="A903" s="24" t="s">
        <v>565</v>
      </c>
      <c r="B903" s="6">
        <v>2</v>
      </c>
      <c r="C903" s="6">
        <v>1</v>
      </c>
      <c r="D903" s="7" t="s">
        <v>766</v>
      </c>
      <c r="E903" s="24" t="s">
        <v>767</v>
      </c>
      <c r="F903" s="24"/>
      <c r="G903" s="6"/>
      <c r="H903" s="6"/>
      <c r="I903" s="13">
        <f>SUBTOTAL(9,I897:I902)</f>
        <v>843675</v>
      </c>
      <c r="J903" s="13">
        <f>SUBTOTAL(9,J897:J902)</f>
        <v>1124900.0000000002</v>
      </c>
    </row>
    <row r="904" spans="1:10" ht="33.75">
      <c r="A904" s="3" t="s">
        <v>807</v>
      </c>
      <c r="B904" s="66">
        <v>2</v>
      </c>
      <c r="C904" s="8">
        <v>2</v>
      </c>
      <c r="D904" s="3" t="s">
        <v>770</v>
      </c>
      <c r="E904" s="3" t="s">
        <v>249</v>
      </c>
      <c r="F904" s="3" t="s">
        <v>771</v>
      </c>
      <c r="G904" s="8" t="s">
        <v>983</v>
      </c>
      <c r="H904" s="8" t="s">
        <v>423</v>
      </c>
      <c r="I904" s="67">
        <v>21402</v>
      </c>
      <c r="J904" s="67">
        <f>I904/0.75</f>
        <v>28536</v>
      </c>
    </row>
    <row r="905" spans="1:10" ht="33.75">
      <c r="A905" s="3" t="s">
        <v>807</v>
      </c>
      <c r="B905" s="66">
        <v>2</v>
      </c>
      <c r="C905" s="8">
        <v>2</v>
      </c>
      <c r="D905" s="3" t="s">
        <v>770</v>
      </c>
      <c r="E905" s="3" t="s">
        <v>249</v>
      </c>
      <c r="F905" s="4" t="s">
        <v>772</v>
      </c>
      <c r="G905" s="8" t="s">
        <v>983</v>
      </c>
      <c r="H905" s="8" t="s">
        <v>330</v>
      </c>
      <c r="I905" s="67">
        <v>28781.55</v>
      </c>
      <c r="J905" s="67">
        <f>I905/0.75</f>
        <v>38375.4</v>
      </c>
    </row>
    <row r="906" spans="1:10" ht="33.75">
      <c r="A906" s="3" t="s">
        <v>807</v>
      </c>
      <c r="B906" s="66">
        <v>2</v>
      </c>
      <c r="C906" s="8">
        <v>2</v>
      </c>
      <c r="D906" s="3" t="s">
        <v>770</v>
      </c>
      <c r="E906" s="3" t="s">
        <v>249</v>
      </c>
      <c r="F906" s="3" t="s">
        <v>773</v>
      </c>
      <c r="G906" s="8" t="s">
        <v>984</v>
      </c>
      <c r="H906" s="8" t="s">
        <v>423</v>
      </c>
      <c r="I906" s="67">
        <v>200000</v>
      </c>
      <c r="J906" s="67">
        <f>I906/0.75</f>
        <v>266666.6666666667</v>
      </c>
    </row>
    <row r="907" spans="1:10" ht="33.75">
      <c r="A907" s="24" t="s">
        <v>807</v>
      </c>
      <c r="B907" s="6">
        <v>2</v>
      </c>
      <c r="C907" s="6">
        <v>2</v>
      </c>
      <c r="D907" s="7" t="s">
        <v>770</v>
      </c>
      <c r="E907" s="24" t="s">
        <v>249</v>
      </c>
      <c r="F907" s="24"/>
      <c r="G907" s="6"/>
      <c r="H907" s="6"/>
      <c r="I907" s="13">
        <f>SUBTOTAL(9,I904:I906)</f>
        <v>250183.55</v>
      </c>
      <c r="J907" s="13">
        <f>SUBTOTAL(9,J904:J906)</f>
        <v>333578.06666666665</v>
      </c>
    </row>
    <row r="908" spans="1:10" ht="33.75">
      <c r="A908" s="3" t="s">
        <v>807</v>
      </c>
      <c r="B908" s="66">
        <v>2</v>
      </c>
      <c r="C908" s="8">
        <v>2</v>
      </c>
      <c r="D908" s="3" t="s">
        <v>774</v>
      </c>
      <c r="E908" s="3" t="s">
        <v>501</v>
      </c>
      <c r="F908" s="4" t="s">
        <v>771</v>
      </c>
      <c r="G908" s="8" t="s">
        <v>983</v>
      </c>
      <c r="H908" s="8" t="s">
        <v>330</v>
      </c>
      <c r="I908" s="67">
        <v>532087.5</v>
      </c>
      <c r="J908" s="67">
        <f>I908/0.75</f>
        <v>709450</v>
      </c>
    </row>
    <row r="909" spans="1:10" ht="33.75">
      <c r="A909" s="3" t="s">
        <v>807</v>
      </c>
      <c r="B909" s="66">
        <v>2</v>
      </c>
      <c r="C909" s="8">
        <v>2</v>
      </c>
      <c r="D909" s="3" t="s">
        <v>774</v>
      </c>
      <c r="E909" s="3" t="s">
        <v>501</v>
      </c>
      <c r="F909" s="3" t="s">
        <v>508</v>
      </c>
      <c r="G909" s="8" t="s">
        <v>984</v>
      </c>
      <c r="H909" s="8" t="s">
        <v>423</v>
      </c>
      <c r="I909" s="68">
        <f>120000-120000</f>
        <v>0</v>
      </c>
      <c r="J909" s="68">
        <f>I909/0.75</f>
        <v>0</v>
      </c>
    </row>
    <row r="910" spans="1:10" ht="33.75">
      <c r="A910" s="3" t="s">
        <v>807</v>
      </c>
      <c r="B910" s="66">
        <v>2</v>
      </c>
      <c r="C910" s="8">
        <v>2</v>
      </c>
      <c r="D910" s="3" t="s">
        <v>774</v>
      </c>
      <c r="E910" s="3" t="s">
        <v>501</v>
      </c>
      <c r="F910" s="3" t="s">
        <v>701</v>
      </c>
      <c r="G910" s="8" t="s">
        <v>984</v>
      </c>
      <c r="H910" s="8" t="s">
        <v>423</v>
      </c>
      <c r="I910" s="68">
        <f>100000+120000</f>
        <v>220000</v>
      </c>
      <c r="J910" s="68">
        <f>I910/0.75</f>
        <v>293333.3333333333</v>
      </c>
    </row>
    <row r="911" spans="1:10" ht="33.75">
      <c r="A911" s="24" t="s">
        <v>807</v>
      </c>
      <c r="B911" s="6">
        <v>2</v>
      </c>
      <c r="C911" s="6">
        <v>2</v>
      </c>
      <c r="D911" s="7" t="s">
        <v>774</v>
      </c>
      <c r="E911" s="24" t="s">
        <v>501</v>
      </c>
      <c r="F911" s="24"/>
      <c r="G911" s="6"/>
      <c r="H911" s="6"/>
      <c r="I911" s="13">
        <f>SUBTOTAL(9,I908:I910)</f>
        <v>752087.5</v>
      </c>
      <c r="J911" s="13">
        <f>SUBTOTAL(9,J908:J910)</f>
        <v>1002783.3333333333</v>
      </c>
    </row>
    <row r="912" spans="1:10" ht="33.75">
      <c r="A912" s="3" t="s">
        <v>807</v>
      </c>
      <c r="B912" s="66">
        <v>2</v>
      </c>
      <c r="C912" s="8">
        <v>1</v>
      </c>
      <c r="D912" s="3" t="s">
        <v>530</v>
      </c>
      <c r="E912" s="3" t="s">
        <v>332</v>
      </c>
      <c r="F912" s="4" t="s">
        <v>281</v>
      </c>
      <c r="G912" s="8" t="s">
        <v>983</v>
      </c>
      <c r="H912" s="8" t="s">
        <v>330</v>
      </c>
      <c r="I912" s="67">
        <v>534525.5</v>
      </c>
      <c r="J912" s="67">
        <f>I912/0.75</f>
        <v>712700.6666666666</v>
      </c>
    </row>
    <row r="913" spans="1:10" ht="33.75">
      <c r="A913" s="3" t="s">
        <v>807</v>
      </c>
      <c r="B913" s="66">
        <v>2</v>
      </c>
      <c r="C913" s="8">
        <v>1</v>
      </c>
      <c r="D913" s="3" t="s">
        <v>530</v>
      </c>
      <c r="E913" s="3" t="s">
        <v>332</v>
      </c>
      <c r="F913" s="3" t="s">
        <v>531</v>
      </c>
      <c r="G913" s="8" t="s">
        <v>983</v>
      </c>
      <c r="H913" s="8" t="s">
        <v>423</v>
      </c>
      <c r="I913" s="67">
        <v>181227.3</v>
      </c>
      <c r="J913" s="67">
        <f>I913/0.75</f>
        <v>241636.4</v>
      </c>
    </row>
    <row r="914" spans="1:10" ht="33.75">
      <c r="A914" s="3" t="s">
        <v>807</v>
      </c>
      <c r="B914" s="66">
        <v>2</v>
      </c>
      <c r="C914" s="8">
        <v>1</v>
      </c>
      <c r="D914" s="3" t="s">
        <v>530</v>
      </c>
      <c r="E914" s="3" t="s">
        <v>332</v>
      </c>
      <c r="F914" s="3" t="s">
        <v>282</v>
      </c>
      <c r="G914" s="8" t="s">
        <v>984</v>
      </c>
      <c r="H914" s="8" t="s">
        <v>423</v>
      </c>
      <c r="I914" s="67">
        <v>52500</v>
      </c>
      <c r="J914" s="67">
        <f>I914/0.75</f>
        <v>70000</v>
      </c>
    </row>
    <row r="915" spans="1:10" ht="33.75">
      <c r="A915" s="3" t="s">
        <v>807</v>
      </c>
      <c r="B915" s="66">
        <v>2</v>
      </c>
      <c r="C915" s="8">
        <v>1</v>
      </c>
      <c r="D915" s="3" t="s">
        <v>530</v>
      </c>
      <c r="E915" s="3" t="s">
        <v>332</v>
      </c>
      <c r="F915" s="3" t="s">
        <v>706</v>
      </c>
      <c r="G915" s="8" t="s">
        <v>984</v>
      </c>
      <c r="H915" s="8" t="s">
        <v>423</v>
      </c>
      <c r="I915" s="67">
        <v>100500</v>
      </c>
      <c r="J915" s="67">
        <f>I915/0.75</f>
        <v>134000</v>
      </c>
    </row>
    <row r="916" spans="1:10" ht="33.75">
      <c r="A916" s="3" t="s">
        <v>807</v>
      </c>
      <c r="B916" s="66">
        <v>2</v>
      </c>
      <c r="C916" s="8">
        <v>1</v>
      </c>
      <c r="D916" s="3" t="s">
        <v>530</v>
      </c>
      <c r="E916" s="3" t="s">
        <v>332</v>
      </c>
      <c r="F916" s="3" t="s">
        <v>505</v>
      </c>
      <c r="G916" s="8" t="s">
        <v>984</v>
      </c>
      <c r="H916" s="8" t="s">
        <v>423</v>
      </c>
      <c r="I916" s="67">
        <v>79500</v>
      </c>
      <c r="J916" s="67">
        <f>I916/0.75</f>
        <v>106000</v>
      </c>
    </row>
    <row r="917" spans="1:10" ht="33.75">
      <c r="A917" s="24" t="s">
        <v>807</v>
      </c>
      <c r="B917" s="6">
        <v>2</v>
      </c>
      <c r="C917" s="6">
        <v>1</v>
      </c>
      <c r="D917" s="7" t="s">
        <v>530</v>
      </c>
      <c r="E917" s="24" t="s">
        <v>332</v>
      </c>
      <c r="F917" s="24"/>
      <c r="G917" s="6"/>
      <c r="H917" s="6"/>
      <c r="I917" s="13">
        <f>SUBTOTAL(9,I912:I916)</f>
        <v>948252.8</v>
      </c>
      <c r="J917" s="13">
        <f>SUBTOTAL(9,J912:J916)</f>
        <v>1264337.0666666667</v>
      </c>
    </row>
    <row r="918" spans="1:10" ht="33.75">
      <c r="A918" s="3" t="s">
        <v>562</v>
      </c>
      <c r="B918" s="66">
        <v>2</v>
      </c>
      <c r="C918" s="8">
        <v>3</v>
      </c>
      <c r="D918" s="3" t="s">
        <v>201</v>
      </c>
      <c r="E918" s="3" t="s">
        <v>222</v>
      </c>
      <c r="F918" s="3" t="s">
        <v>302</v>
      </c>
      <c r="G918" s="8" t="s">
        <v>983</v>
      </c>
      <c r="H918" s="8" t="s">
        <v>423</v>
      </c>
      <c r="I918" s="67">
        <v>26756.25</v>
      </c>
      <c r="J918" s="67">
        <f>I918/0.75</f>
        <v>35675</v>
      </c>
    </row>
    <row r="919" spans="1:10" ht="33.75">
      <c r="A919" s="3" t="s">
        <v>562</v>
      </c>
      <c r="B919" s="66">
        <v>2</v>
      </c>
      <c r="C919" s="8">
        <v>3</v>
      </c>
      <c r="D919" s="3" t="s">
        <v>201</v>
      </c>
      <c r="E919" s="3" t="s">
        <v>222</v>
      </c>
      <c r="F919" s="4" t="s">
        <v>528</v>
      </c>
      <c r="G919" s="8" t="s">
        <v>983</v>
      </c>
      <c r="H919" s="8" t="s">
        <v>330</v>
      </c>
      <c r="I919" s="67">
        <f>240000+11163.67</f>
        <v>251163.67</v>
      </c>
      <c r="J919" s="67">
        <f>I919/0.75</f>
        <v>334884.89333333337</v>
      </c>
    </row>
    <row r="920" spans="1:10" ht="33.75">
      <c r="A920" s="3" t="s">
        <v>562</v>
      </c>
      <c r="B920" s="66">
        <v>2</v>
      </c>
      <c r="C920" s="8">
        <v>3</v>
      </c>
      <c r="D920" s="3" t="s">
        <v>201</v>
      </c>
      <c r="E920" s="3" t="s">
        <v>222</v>
      </c>
      <c r="F920" s="3" t="s">
        <v>726</v>
      </c>
      <c r="G920" s="8" t="s">
        <v>983</v>
      </c>
      <c r="H920" s="8" t="s">
        <v>423</v>
      </c>
      <c r="I920" s="67">
        <f>12750+634.86</f>
        <v>13384.86</v>
      </c>
      <c r="J920" s="67">
        <f>I920/0.75</f>
        <v>17846.48</v>
      </c>
    </row>
    <row r="921" spans="1:10" ht="33.75">
      <c r="A921" s="3" t="s">
        <v>562</v>
      </c>
      <c r="B921" s="66">
        <v>2</v>
      </c>
      <c r="C921" s="8">
        <v>3</v>
      </c>
      <c r="D921" s="3" t="s">
        <v>201</v>
      </c>
      <c r="E921" s="3" t="s">
        <v>222</v>
      </c>
      <c r="F921" s="3" t="s">
        <v>526</v>
      </c>
      <c r="G921" s="8" t="s">
        <v>984</v>
      </c>
      <c r="H921" s="8" t="s">
        <v>423</v>
      </c>
      <c r="I921" s="67">
        <f>19999.97+20.21</f>
        <v>20020.18</v>
      </c>
      <c r="J921" s="67">
        <f>I921/0.75</f>
        <v>26693.573333333334</v>
      </c>
    </row>
    <row r="922" spans="1:10" ht="33.75">
      <c r="A922" s="3" t="s">
        <v>562</v>
      </c>
      <c r="B922" s="66">
        <v>2</v>
      </c>
      <c r="C922" s="8">
        <v>3</v>
      </c>
      <c r="D922" s="3" t="s">
        <v>201</v>
      </c>
      <c r="E922" s="3" t="s">
        <v>222</v>
      </c>
      <c r="F922" s="3" t="s">
        <v>396</v>
      </c>
      <c r="G922" s="8" t="s">
        <v>984</v>
      </c>
      <c r="H922" s="8" t="s">
        <v>423</v>
      </c>
      <c r="I922" s="67">
        <f>39999.23+4820.72</f>
        <v>44819.950000000004</v>
      </c>
      <c r="J922" s="67">
        <f>I922/0.75</f>
        <v>59759.93333333334</v>
      </c>
    </row>
    <row r="923" spans="1:10" ht="33.75">
      <c r="A923" s="24" t="s">
        <v>562</v>
      </c>
      <c r="B923" s="6">
        <v>2</v>
      </c>
      <c r="C923" s="6">
        <v>3</v>
      </c>
      <c r="D923" s="7" t="s">
        <v>201</v>
      </c>
      <c r="E923" s="24" t="s">
        <v>222</v>
      </c>
      <c r="F923" s="24"/>
      <c r="G923" s="6"/>
      <c r="H923" s="6"/>
      <c r="I923" s="13">
        <f>SUBTOTAL(9,I918:I922)</f>
        <v>356144.91000000003</v>
      </c>
      <c r="J923" s="13">
        <f>SUBTOTAL(9,J918:J922)</f>
        <v>474859.88</v>
      </c>
    </row>
    <row r="924" spans="1:10" ht="45">
      <c r="A924" s="3" t="s">
        <v>807</v>
      </c>
      <c r="B924" s="66">
        <v>2</v>
      </c>
      <c r="C924" s="8">
        <v>2</v>
      </c>
      <c r="D924" s="3" t="s">
        <v>727</v>
      </c>
      <c r="E924" s="3" t="s">
        <v>674</v>
      </c>
      <c r="F924" s="5" t="s">
        <v>196</v>
      </c>
      <c r="G924" s="2" t="s">
        <v>983</v>
      </c>
      <c r="H924" s="8" t="s">
        <v>330</v>
      </c>
      <c r="I924" s="67">
        <f>947245.5+60000</f>
        <v>1007245.5</v>
      </c>
      <c r="J924" s="67">
        <f>I924/0.75</f>
        <v>1342994</v>
      </c>
    </row>
    <row r="925" spans="1:10" ht="45">
      <c r="A925" s="3" t="s">
        <v>807</v>
      </c>
      <c r="B925" s="66">
        <v>2</v>
      </c>
      <c r="C925" s="8">
        <v>2</v>
      </c>
      <c r="D925" s="3" t="s">
        <v>727</v>
      </c>
      <c r="E925" s="3" t="s">
        <v>674</v>
      </c>
      <c r="F925" s="3" t="s">
        <v>304</v>
      </c>
      <c r="G925" s="8" t="s">
        <v>984</v>
      </c>
      <c r="H925" s="8" t="s">
        <v>423</v>
      </c>
      <c r="I925" s="67">
        <f>86250+26250</f>
        <v>112500</v>
      </c>
      <c r="J925" s="67">
        <f>I925/0.75</f>
        <v>150000</v>
      </c>
    </row>
    <row r="926" spans="1:10" ht="45">
      <c r="A926" s="3" t="s">
        <v>807</v>
      </c>
      <c r="B926" s="66">
        <v>2</v>
      </c>
      <c r="C926" s="8">
        <v>2</v>
      </c>
      <c r="D926" s="3" t="s">
        <v>727</v>
      </c>
      <c r="E926" s="3" t="s">
        <v>674</v>
      </c>
      <c r="F926" s="3" t="s">
        <v>728</v>
      </c>
      <c r="G926" s="8" t="s">
        <v>984</v>
      </c>
      <c r="H926" s="8" t="s">
        <v>423</v>
      </c>
      <c r="I926" s="67">
        <f>86250-86250</f>
        <v>0</v>
      </c>
      <c r="J926" s="67">
        <f>I926/0.75</f>
        <v>0</v>
      </c>
    </row>
    <row r="927" spans="1:10" ht="45">
      <c r="A927" s="3" t="s">
        <v>807</v>
      </c>
      <c r="B927" s="66">
        <v>2</v>
      </c>
      <c r="C927" s="8">
        <v>2</v>
      </c>
      <c r="D927" s="3" t="s">
        <v>727</v>
      </c>
      <c r="E927" s="3" t="s">
        <v>674</v>
      </c>
      <c r="F927" s="3" t="s">
        <v>729</v>
      </c>
      <c r="G927" s="8" t="s">
        <v>983</v>
      </c>
      <c r="H927" s="8" t="s">
        <v>423</v>
      </c>
      <c r="I927" s="67">
        <v>77639.25</v>
      </c>
      <c r="J927" s="67">
        <f>I927/0.75</f>
        <v>103519</v>
      </c>
    </row>
    <row r="928" spans="1:10" ht="45">
      <c r="A928" s="24" t="s">
        <v>807</v>
      </c>
      <c r="B928" s="6">
        <v>2</v>
      </c>
      <c r="C928" s="6">
        <v>2</v>
      </c>
      <c r="D928" s="7" t="s">
        <v>727</v>
      </c>
      <c r="E928" s="24" t="s">
        <v>674</v>
      </c>
      <c r="F928" s="24"/>
      <c r="G928" s="6"/>
      <c r="H928" s="6"/>
      <c r="I928" s="13">
        <f>SUBTOTAL(9,I924:I927)</f>
        <v>1197384.75</v>
      </c>
      <c r="J928" s="13">
        <f>SUBTOTAL(9,J924:J927)</f>
        <v>1596513</v>
      </c>
    </row>
    <row r="929" spans="1:10" ht="33.75">
      <c r="A929" s="3" t="s">
        <v>807</v>
      </c>
      <c r="B929" s="66">
        <v>2</v>
      </c>
      <c r="C929" s="8">
        <v>2</v>
      </c>
      <c r="D929" s="3" t="s">
        <v>566</v>
      </c>
      <c r="E929" s="3" t="s">
        <v>741</v>
      </c>
      <c r="F929" s="3" t="s">
        <v>567</v>
      </c>
      <c r="G929" s="8" t="s">
        <v>984</v>
      </c>
      <c r="H929" s="8" t="s">
        <v>423</v>
      </c>
      <c r="I929" s="67">
        <v>31380.57</v>
      </c>
      <c r="J929" s="67">
        <f>I929/0.75</f>
        <v>41840.76</v>
      </c>
    </row>
    <row r="930" spans="1:10" ht="33.75">
      <c r="A930" s="3" t="s">
        <v>807</v>
      </c>
      <c r="B930" s="66">
        <v>2</v>
      </c>
      <c r="C930" s="8">
        <v>2</v>
      </c>
      <c r="D930" s="3" t="s">
        <v>566</v>
      </c>
      <c r="E930" s="3" t="s">
        <v>741</v>
      </c>
      <c r="F930" s="3" t="s">
        <v>257</v>
      </c>
      <c r="G930" s="8" t="s">
        <v>983</v>
      </c>
      <c r="H930" s="8" t="s">
        <v>423</v>
      </c>
      <c r="I930" s="68">
        <f>153598.81-18329.02</f>
        <v>135269.79</v>
      </c>
      <c r="J930" s="67">
        <f>I930/0.75</f>
        <v>180359.72</v>
      </c>
    </row>
    <row r="931" spans="1:10" ht="33.75">
      <c r="A931" s="3" t="s">
        <v>807</v>
      </c>
      <c r="B931" s="66">
        <v>2</v>
      </c>
      <c r="C931" s="8">
        <v>2</v>
      </c>
      <c r="D931" s="3" t="s">
        <v>566</v>
      </c>
      <c r="E931" s="3" t="s">
        <v>741</v>
      </c>
      <c r="F931" s="3" t="s">
        <v>742</v>
      </c>
      <c r="G931" s="8" t="s">
        <v>983</v>
      </c>
      <c r="H931" s="8" t="s">
        <v>423</v>
      </c>
      <c r="I931" s="68">
        <v>60036.72</v>
      </c>
      <c r="J931" s="67">
        <f>I931/0.75</f>
        <v>80048.96</v>
      </c>
    </row>
    <row r="932" spans="1:10" ht="33.75">
      <c r="A932" s="3" t="s">
        <v>807</v>
      </c>
      <c r="B932" s="66">
        <v>2</v>
      </c>
      <c r="C932" s="8">
        <v>2</v>
      </c>
      <c r="D932" s="3" t="s">
        <v>566</v>
      </c>
      <c r="E932" s="3" t="s">
        <v>741</v>
      </c>
      <c r="F932" s="4" t="s">
        <v>293</v>
      </c>
      <c r="G932" s="8" t="s">
        <v>983</v>
      </c>
      <c r="H932" s="8" t="s">
        <v>330</v>
      </c>
      <c r="I932" s="68">
        <f>210997.33+18329.02</f>
        <v>229326.34999999998</v>
      </c>
      <c r="J932" s="67">
        <f>I932/0.75</f>
        <v>305768.4666666666</v>
      </c>
    </row>
    <row r="933" spans="1:10" ht="33.75">
      <c r="A933" s="3" t="s">
        <v>807</v>
      </c>
      <c r="B933" s="66">
        <v>2</v>
      </c>
      <c r="C933" s="8">
        <v>2</v>
      </c>
      <c r="D933" s="3" t="s">
        <v>566</v>
      </c>
      <c r="E933" s="3" t="s">
        <v>741</v>
      </c>
      <c r="F933" s="3" t="s">
        <v>568</v>
      </c>
      <c r="G933" s="8" t="s">
        <v>984</v>
      </c>
      <c r="H933" s="8" t="s">
        <v>423</v>
      </c>
      <c r="I933" s="67">
        <v>35000</v>
      </c>
      <c r="J933" s="67">
        <f>I933/0.75</f>
        <v>46666.666666666664</v>
      </c>
    </row>
    <row r="934" spans="1:10" ht="33.75">
      <c r="A934" s="24" t="s">
        <v>807</v>
      </c>
      <c r="B934" s="6">
        <v>2</v>
      </c>
      <c r="C934" s="6">
        <v>2</v>
      </c>
      <c r="D934" s="7" t="s">
        <v>566</v>
      </c>
      <c r="E934" s="24" t="s">
        <v>741</v>
      </c>
      <c r="F934" s="24"/>
      <c r="G934" s="6"/>
      <c r="H934" s="6"/>
      <c r="I934" s="13">
        <f>SUBTOTAL(9,I929:I933)</f>
        <v>491013.43</v>
      </c>
      <c r="J934" s="13">
        <f>SUBTOTAL(9,J929:J933)</f>
        <v>654684.5733333332</v>
      </c>
    </row>
    <row r="935" spans="1:10" ht="33.75">
      <c r="A935" s="3" t="s">
        <v>807</v>
      </c>
      <c r="B935" s="66">
        <v>2</v>
      </c>
      <c r="C935" s="8">
        <v>1</v>
      </c>
      <c r="D935" s="3" t="s">
        <v>569</v>
      </c>
      <c r="E935" s="3" t="s">
        <v>506</v>
      </c>
      <c r="F935" s="11" t="s">
        <v>1005</v>
      </c>
      <c r="G935" s="8" t="s">
        <v>983</v>
      </c>
      <c r="H935" s="8" t="s">
        <v>330</v>
      </c>
      <c r="I935" s="67">
        <v>915000</v>
      </c>
      <c r="J935" s="67">
        <f>I935/0.75</f>
        <v>1220000</v>
      </c>
    </row>
    <row r="936" spans="1:10" ht="22.5">
      <c r="A936" s="3" t="s">
        <v>807</v>
      </c>
      <c r="B936" s="66">
        <v>2</v>
      </c>
      <c r="C936" s="8">
        <v>1</v>
      </c>
      <c r="D936" s="3" t="s">
        <v>569</v>
      </c>
      <c r="E936" s="3" t="s">
        <v>506</v>
      </c>
      <c r="F936" s="3" t="s">
        <v>507</v>
      </c>
      <c r="G936" s="8" t="s">
        <v>984</v>
      </c>
      <c r="H936" s="8" t="s">
        <v>423</v>
      </c>
      <c r="I936" s="67">
        <v>68250</v>
      </c>
      <c r="J936" s="67">
        <f>I936/0.75</f>
        <v>91000</v>
      </c>
    </row>
    <row r="937" spans="1:10" ht="22.5">
      <c r="A937" s="24" t="s">
        <v>807</v>
      </c>
      <c r="B937" s="6">
        <v>2</v>
      </c>
      <c r="C937" s="6">
        <v>1</v>
      </c>
      <c r="D937" s="7" t="s">
        <v>569</v>
      </c>
      <c r="E937" s="24" t="s">
        <v>506</v>
      </c>
      <c r="F937" s="24"/>
      <c r="G937" s="6"/>
      <c r="H937" s="6"/>
      <c r="I937" s="13">
        <f>SUBTOTAL(9,I935:I936)</f>
        <v>983250</v>
      </c>
      <c r="J937" s="13">
        <f>SUBTOTAL(9,J935:J936)</f>
        <v>1311000</v>
      </c>
    </row>
    <row r="938" spans="1:10" ht="45">
      <c r="A938" s="3" t="s">
        <v>564</v>
      </c>
      <c r="B938" s="66">
        <v>2</v>
      </c>
      <c r="C938" s="8">
        <v>2</v>
      </c>
      <c r="D938" s="3" t="s">
        <v>570</v>
      </c>
      <c r="E938" s="3" t="s">
        <v>227</v>
      </c>
      <c r="F938" s="3" t="s">
        <v>810</v>
      </c>
      <c r="G938" s="8" t="s">
        <v>984</v>
      </c>
      <c r="H938" s="8" t="s">
        <v>423</v>
      </c>
      <c r="I938" s="67">
        <v>10000</v>
      </c>
      <c r="J938" s="67">
        <f aca="true" t="shared" si="19" ref="J938:J943">I938/0.75</f>
        <v>13333.333333333334</v>
      </c>
    </row>
    <row r="939" spans="1:10" ht="45">
      <c r="A939" s="3" t="s">
        <v>564</v>
      </c>
      <c r="B939" s="66">
        <v>2</v>
      </c>
      <c r="C939" s="8">
        <v>2</v>
      </c>
      <c r="D939" s="3" t="s">
        <v>570</v>
      </c>
      <c r="E939" s="3" t="s">
        <v>227</v>
      </c>
      <c r="F939" s="3" t="s">
        <v>571</v>
      </c>
      <c r="G939" s="8" t="s">
        <v>984</v>
      </c>
      <c r="H939" s="8" t="s">
        <v>423</v>
      </c>
      <c r="I939" s="67">
        <v>10000</v>
      </c>
      <c r="J939" s="67">
        <f t="shared" si="19"/>
        <v>13333.333333333334</v>
      </c>
    </row>
    <row r="940" spans="1:10" ht="45">
      <c r="A940" s="3" t="s">
        <v>564</v>
      </c>
      <c r="B940" s="66">
        <v>2</v>
      </c>
      <c r="C940" s="8">
        <v>2</v>
      </c>
      <c r="D940" s="3" t="s">
        <v>570</v>
      </c>
      <c r="E940" s="3" t="s">
        <v>227</v>
      </c>
      <c r="F940" s="3" t="s">
        <v>572</v>
      </c>
      <c r="G940" s="8" t="s">
        <v>984</v>
      </c>
      <c r="H940" s="8" t="s">
        <v>423</v>
      </c>
      <c r="I940" s="67">
        <v>10000</v>
      </c>
      <c r="J940" s="67">
        <f t="shared" si="19"/>
        <v>13333.333333333334</v>
      </c>
    </row>
    <row r="941" spans="1:10" ht="45">
      <c r="A941" s="3" t="s">
        <v>564</v>
      </c>
      <c r="B941" s="66">
        <v>2</v>
      </c>
      <c r="C941" s="8">
        <v>2</v>
      </c>
      <c r="D941" s="3" t="s">
        <v>570</v>
      </c>
      <c r="E941" s="3" t="s">
        <v>227</v>
      </c>
      <c r="F941" s="3" t="s">
        <v>642</v>
      </c>
      <c r="G941" s="8" t="s">
        <v>983</v>
      </c>
      <c r="H941" s="8" t="s">
        <v>423</v>
      </c>
      <c r="I941" s="68">
        <f>82554-9000</f>
        <v>73554</v>
      </c>
      <c r="J941" s="67">
        <f t="shared" si="19"/>
        <v>98072</v>
      </c>
    </row>
    <row r="942" spans="1:10" ht="45">
      <c r="A942" s="3" t="s">
        <v>564</v>
      </c>
      <c r="B942" s="66">
        <v>2</v>
      </c>
      <c r="C942" s="8">
        <v>2</v>
      </c>
      <c r="D942" s="3" t="s">
        <v>570</v>
      </c>
      <c r="E942" s="3" t="s">
        <v>227</v>
      </c>
      <c r="F942" s="4" t="s">
        <v>573</v>
      </c>
      <c r="G942" s="8" t="s">
        <v>983</v>
      </c>
      <c r="H942" s="8" t="s">
        <v>330</v>
      </c>
      <c r="I942" s="68">
        <f>100000+9000</f>
        <v>109000</v>
      </c>
      <c r="J942" s="67">
        <f t="shared" si="19"/>
        <v>145333.33333333334</v>
      </c>
    </row>
    <row r="943" spans="1:10" ht="45">
      <c r="A943" s="3" t="s">
        <v>564</v>
      </c>
      <c r="B943" s="66">
        <v>2</v>
      </c>
      <c r="C943" s="8">
        <v>2</v>
      </c>
      <c r="D943" s="3" t="s">
        <v>570</v>
      </c>
      <c r="E943" s="3" t="s">
        <v>227</v>
      </c>
      <c r="F943" s="3" t="s">
        <v>675</v>
      </c>
      <c r="G943" s="8" t="s">
        <v>984</v>
      </c>
      <c r="H943" s="8" t="s">
        <v>423</v>
      </c>
      <c r="I943" s="67">
        <v>0</v>
      </c>
      <c r="J943" s="67">
        <f t="shared" si="19"/>
        <v>0</v>
      </c>
    </row>
    <row r="944" spans="1:10" ht="45">
      <c r="A944" s="24" t="s">
        <v>564</v>
      </c>
      <c r="B944" s="6">
        <v>2</v>
      </c>
      <c r="C944" s="6">
        <v>2</v>
      </c>
      <c r="D944" s="7" t="s">
        <v>570</v>
      </c>
      <c r="E944" s="24" t="s">
        <v>227</v>
      </c>
      <c r="F944" s="24"/>
      <c r="G944" s="6"/>
      <c r="H944" s="6"/>
      <c r="I944" s="13">
        <f>SUBTOTAL(9,I938:I943)</f>
        <v>212554</v>
      </c>
      <c r="J944" s="13">
        <f>SUBTOTAL(9,J938:J943)</f>
        <v>283405.3333333334</v>
      </c>
    </row>
    <row r="945" spans="1:10" ht="33.75">
      <c r="A945" s="3" t="s">
        <v>565</v>
      </c>
      <c r="B945" s="66">
        <v>2</v>
      </c>
      <c r="C945" s="8">
        <v>1</v>
      </c>
      <c r="D945" s="3" t="s">
        <v>308</v>
      </c>
      <c r="E945" s="3" t="s">
        <v>225</v>
      </c>
      <c r="F945" s="3" t="s">
        <v>676</v>
      </c>
      <c r="G945" s="8" t="s">
        <v>983</v>
      </c>
      <c r="H945" s="8" t="s">
        <v>423</v>
      </c>
      <c r="I945" s="67">
        <f>472292.19+90000+90000-199418.19</f>
        <v>452873.99999999994</v>
      </c>
      <c r="J945" s="67">
        <f aca="true" t="shared" si="20" ref="J945:J950">I945/0.75</f>
        <v>603831.9999999999</v>
      </c>
    </row>
    <row r="946" spans="1:10" ht="33.75">
      <c r="A946" s="3" t="s">
        <v>565</v>
      </c>
      <c r="B946" s="66">
        <v>2</v>
      </c>
      <c r="C946" s="8">
        <v>1</v>
      </c>
      <c r="D946" s="3" t="s">
        <v>308</v>
      </c>
      <c r="E946" s="3" t="s">
        <v>225</v>
      </c>
      <c r="F946" s="4" t="s">
        <v>309</v>
      </c>
      <c r="G946" s="8" t="s">
        <v>983</v>
      </c>
      <c r="H946" s="8" t="s">
        <v>330</v>
      </c>
      <c r="I946" s="67">
        <f>148125-20700</f>
        <v>127425</v>
      </c>
      <c r="J946" s="67">
        <f t="shared" si="20"/>
        <v>169900</v>
      </c>
    </row>
    <row r="947" spans="1:10" ht="33.75">
      <c r="A947" s="3" t="s">
        <v>565</v>
      </c>
      <c r="B947" s="66">
        <v>2</v>
      </c>
      <c r="C947" s="8">
        <v>1</v>
      </c>
      <c r="D947" s="3" t="s">
        <v>308</v>
      </c>
      <c r="E947" s="3" t="s">
        <v>225</v>
      </c>
      <c r="F947" s="3" t="s">
        <v>357</v>
      </c>
      <c r="G947" s="8" t="s">
        <v>984</v>
      </c>
      <c r="H947" s="8" t="s">
        <v>423</v>
      </c>
      <c r="I947" s="67">
        <v>59977.13</v>
      </c>
      <c r="J947" s="67">
        <f t="shared" si="20"/>
        <v>79969.50666666667</v>
      </c>
    </row>
    <row r="948" spans="1:10" ht="33.75">
      <c r="A948" s="3" t="s">
        <v>565</v>
      </c>
      <c r="B948" s="66">
        <v>2</v>
      </c>
      <c r="C948" s="8">
        <v>1</v>
      </c>
      <c r="D948" s="3" t="s">
        <v>308</v>
      </c>
      <c r="E948" s="3" t="s">
        <v>225</v>
      </c>
      <c r="F948" s="3" t="s">
        <v>310</v>
      </c>
      <c r="G948" s="8" t="s">
        <v>984</v>
      </c>
      <c r="H948" s="8" t="s">
        <v>423</v>
      </c>
      <c r="I948" s="67">
        <v>60000</v>
      </c>
      <c r="J948" s="67">
        <f t="shared" si="20"/>
        <v>80000</v>
      </c>
    </row>
    <row r="949" spans="1:10" ht="33.75">
      <c r="A949" s="3" t="s">
        <v>565</v>
      </c>
      <c r="B949" s="66">
        <v>2</v>
      </c>
      <c r="C949" s="8">
        <v>1</v>
      </c>
      <c r="D949" s="3" t="s">
        <v>308</v>
      </c>
      <c r="E949" s="3" t="s">
        <v>225</v>
      </c>
      <c r="F949" s="3" t="s">
        <v>311</v>
      </c>
      <c r="G949" s="8" t="s">
        <v>984</v>
      </c>
      <c r="H949" s="8" t="s">
        <v>423</v>
      </c>
      <c r="I949" s="67">
        <v>60000</v>
      </c>
      <c r="J949" s="67">
        <f t="shared" si="20"/>
        <v>80000</v>
      </c>
    </row>
    <row r="950" spans="1:10" ht="33.75">
      <c r="A950" s="3" t="s">
        <v>565</v>
      </c>
      <c r="B950" s="66">
        <v>2</v>
      </c>
      <c r="C950" s="8">
        <v>1</v>
      </c>
      <c r="D950" s="3" t="s">
        <v>308</v>
      </c>
      <c r="E950" s="3" t="s">
        <v>225</v>
      </c>
      <c r="F950" s="3" t="s">
        <v>708</v>
      </c>
      <c r="G950" s="8" t="s">
        <v>984</v>
      </c>
      <c r="H950" s="8" t="s">
        <v>423</v>
      </c>
      <c r="I950" s="67">
        <f>69998.24+20001.76</f>
        <v>90000</v>
      </c>
      <c r="J950" s="67">
        <f t="shared" si="20"/>
        <v>120000</v>
      </c>
    </row>
    <row r="951" spans="1:10" ht="33.75">
      <c r="A951" s="24" t="s">
        <v>565</v>
      </c>
      <c r="B951" s="6">
        <v>2</v>
      </c>
      <c r="C951" s="6">
        <v>1</v>
      </c>
      <c r="D951" s="7" t="s">
        <v>308</v>
      </c>
      <c r="E951" s="24" t="s">
        <v>225</v>
      </c>
      <c r="F951" s="24"/>
      <c r="G951" s="6"/>
      <c r="H951" s="6"/>
      <c r="I951" s="13">
        <f>SUBTOTAL(9,I945:I950)</f>
        <v>850276.13</v>
      </c>
      <c r="J951" s="13">
        <f>SUBTOTAL(9,J945:J950)</f>
        <v>1133701.5066666666</v>
      </c>
    </row>
    <row r="952" spans="1:10" ht="33.75">
      <c r="A952" s="3" t="s">
        <v>561</v>
      </c>
      <c r="B952" s="66">
        <v>2</v>
      </c>
      <c r="C952" s="8">
        <v>2</v>
      </c>
      <c r="D952" s="3" t="s">
        <v>312</v>
      </c>
      <c r="E952" s="3" t="s">
        <v>313</v>
      </c>
      <c r="F952" s="3" t="s">
        <v>881</v>
      </c>
      <c r="G952" s="8" t="s">
        <v>983</v>
      </c>
      <c r="H952" s="8" t="s">
        <v>423</v>
      </c>
      <c r="I952" s="67">
        <v>101250</v>
      </c>
      <c r="J952" s="67">
        <f aca="true" t="shared" si="21" ref="J952:J961">I952/0.75</f>
        <v>135000</v>
      </c>
    </row>
    <row r="953" spans="1:10" ht="33.75">
      <c r="A953" s="3" t="s">
        <v>561</v>
      </c>
      <c r="B953" s="66">
        <v>2</v>
      </c>
      <c r="C953" s="8">
        <v>2</v>
      </c>
      <c r="D953" s="3" t="s">
        <v>312</v>
      </c>
      <c r="E953" s="3" t="s">
        <v>313</v>
      </c>
      <c r="F953" s="3" t="s">
        <v>314</v>
      </c>
      <c r="G953" s="8" t="s">
        <v>983</v>
      </c>
      <c r="H953" s="8" t="s">
        <v>423</v>
      </c>
      <c r="I953" s="67">
        <v>59925</v>
      </c>
      <c r="J953" s="67">
        <f t="shared" si="21"/>
        <v>79900</v>
      </c>
    </row>
    <row r="954" spans="1:10" ht="33.75">
      <c r="A954" s="3" t="s">
        <v>561</v>
      </c>
      <c r="B954" s="66">
        <v>2</v>
      </c>
      <c r="C954" s="8">
        <v>2</v>
      </c>
      <c r="D954" s="3" t="s">
        <v>312</v>
      </c>
      <c r="E954" s="3" t="s">
        <v>313</v>
      </c>
      <c r="F954" s="4" t="s">
        <v>315</v>
      </c>
      <c r="G954" s="8" t="s">
        <v>983</v>
      </c>
      <c r="H954" s="8" t="s">
        <v>330</v>
      </c>
      <c r="I954" s="67">
        <v>196869.37</v>
      </c>
      <c r="J954" s="67">
        <f t="shared" si="21"/>
        <v>262492.49333333335</v>
      </c>
    </row>
    <row r="955" spans="1:10" ht="33.75">
      <c r="A955" s="3" t="s">
        <v>561</v>
      </c>
      <c r="B955" s="66">
        <v>2</v>
      </c>
      <c r="C955" s="8">
        <v>2</v>
      </c>
      <c r="D955" s="3" t="s">
        <v>312</v>
      </c>
      <c r="E955" s="3" t="s">
        <v>313</v>
      </c>
      <c r="F955" s="3" t="s">
        <v>316</v>
      </c>
      <c r="G955" s="8" t="s">
        <v>983</v>
      </c>
      <c r="H955" s="8" t="s">
        <v>423</v>
      </c>
      <c r="I955" s="67">
        <v>194850</v>
      </c>
      <c r="J955" s="67">
        <f t="shared" si="21"/>
        <v>259800</v>
      </c>
    </row>
    <row r="956" spans="1:10" ht="33.75">
      <c r="A956" s="3" t="s">
        <v>561</v>
      </c>
      <c r="B956" s="66">
        <v>2</v>
      </c>
      <c r="C956" s="8">
        <v>2</v>
      </c>
      <c r="D956" s="3" t="s">
        <v>312</v>
      </c>
      <c r="E956" s="3" t="s">
        <v>313</v>
      </c>
      <c r="F956" s="3" t="s">
        <v>882</v>
      </c>
      <c r="G956" s="8" t="s">
        <v>983</v>
      </c>
      <c r="H956" s="8" t="s">
        <v>423</v>
      </c>
      <c r="I956" s="67">
        <v>84515.63</v>
      </c>
      <c r="J956" s="67">
        <f t="shared" si="21"/>
        <v>112687.50666666667</v>
      </c>
    </row>
    <row r="957" spans="1:10" ht="33.75">
      <c r="A957" s="3" t="s">
        <v>561</v>
      </c>
      <c r="B957" s="66">
        <v>2</v>
      </c>
      <c r="C957" s="8">
        <v>2</v>
      </c>
      <c r="D957" s="3" t="s">
        <v>312</v>
      </c>
      <c r="E957" s="3" t="s">
        <v>313</v>
      </c>
      <c r="F957" s="3" t="s">
        <v>318</v>
      </c>
      <c r="G957" s="8" t="s">
        <v>983</v>
      </c>
      <c r="H957" s="8" t="s">
        <v>423</v>
      </c>
      <c r="I957" s="67">
        <v>132750</v>
      </c>
      <c r="J957" s="67">
        <f t="shared" si="21"/>
        <v>177000</v>
      </c>
    </row>
    <row r="958" spans="1:10" ht="33.75">
      <c r="A958" s="3" t="s">
        <v>561</v>
      </c>
      <c r="B958" s="66">
        <v>2</v>
      </c>
      <c r="C958" s="8">
        <v>2</v>
      </c>
      <c r="D958" s="3" t="s">
        <v>312</v>
      </c>
      <c r="E958" s="3" t="s">
        <v>313</v>
      </c>
      <c r="F958" s="3" t="s">
        <v>347</v>
      </c>
      <c r="G958" s="8" t="s">
        <v>983</v>
      </c>
      <c r="H958" s="8" t="s">
        <v>423</v>
      </c>
      <c r="I958" s="67">
        <v>28125</v>
      </c>
      <c r="J958" s="67">
        <f t="shared" si="21"/>
        <v>37500</v>
      </c>
    </row>
    <row r="959" spans="1:10" ht="33.75">
      <c r="A959" s="3" t="s">
        <v>561</v>
      </c>
      <c r="B959" s="66">
        <v>2</v>
      </c>
      <c r="C959" s="8">
        <v>2</v>
      </c>
      <c r="D959" s="3" t="s">
        <v>312</v>
      </c>
      <c r="E959" s="3" t="s">
        <v>313</v>
      </c>
      <c r="F959" s="3" t="s">
        <v>407</v>
      </c>
      <c r="G959" s="8" t="s">
        <v>984</v>
      </c>
      <c r="H959" s="8" t="s">
        <v>423</v>
      </c>
      <c r="I959" s="67">
        <v>129750</v>
      </c>
      <c r="J959" s="67">
        <f t="shared" si="21"/>
        <v>173000</v>
      </c>
    </row>
    <row r="960" spans="1:10" ht="33.75">
      <c r="A960" s="3" t="s">
        <v>561</v>
      </c>
      <c r="B960" s="66">
        <v>2</v>
      </c>
      <c r="C960" s="8">
        <v>2</v>
      </c>
      <c r="D960" s="3" t="s">
        <v>312</v>
      </c>
      <c r="E960" s="3" t="s">
        <v>313</v>
      </c>
      <c r="F960" s="3" t="s">
        <v>298</v>
      </c>
      <c r="G960" s="8" t="s">
        <v>984</v>
      </c>
      <c r="H960" s="8" t="s">
        <v>423</v>
      </c>
      <c r="I960" s="67">
        <v>219750</v>
      </c>
      <c r="J960" s="67">
        <f t="shared" si="21"/>
        <v>293000</v>
      </c>
    </row>
    <row r="961" spans="1:10" ht="33.75">
      <c r="A961" s="3" t="s">
        <v>561</v>
      </c>
      <c r="B961" s="66">
        <v>2</v>
      </c>
      <c r="C961" s="8">
        <v>2</v>
      </c>
      <c r="D961" s="3" t="s">
        <v>312</v>
      </c>
      <c r="E961" s="3" t="s">
        <v>313</v>
      </c>
      <c r="F961" s="3" t="s">
        <v>252</v>
      </c>
      <c r="G961" s="8" t="s">
        <v>984</v>
      </c>
      <c r="H961" s="8" t="s">
        <v>423</v>
      </c>
      <c r="I961" s="67">
        <v>112500</v>
      </c>
      <c r="J961" s="67">
        <f t="shared" si="21"/>
        <v>150000</v>
      </c>
    </row>
    <row r="962" spans="1:10" ht="33.75">
      <c r="A962" s="24" t="s">
        <v>561</v>
      </c>
      <c r="B962" s="6">
        <v>2</v>
      </c>
      <c r="C962" s="6">
        <v>2</v>
      </c>
      <c r="D962" s="7" t="s">
        <v>312</v>
      </c>
      <c r="E962" s="24" t="s">
        <v>313</v>
      </c>
      <c r="F962" s="24"/>
      <c r="G962" s="6"/>
      <c r="H962" s="6"/>
      <c r="I962" s="13">
        <f>SUBTOTAL(9,I952:I961)</f>
        <v>1260285</v>
      </c>
      <c r="J962" s="13">
        <f>SUBTOTAL(9,J952:J961)</f>
        <v>1680380</v>
      </c>
    </row>
    <row r="963" spans="1:10" ht="22.5">
      <c r="A963" s="3" t="s">
        <v>565</v>
      </c>
      <c r="B963" s="66">
        <v>2</v>
      </c>
      <c r="C963" s="8">
        <v>4</v>
      </c>
      <c r="D963" s="3" t="s">
        <v>348</v>
      </c>
      <c r="E963" s="3" t="s">
        <v>226</v>
      </c>
      <c r="F963" s="3" t="s">
        <v>883</v>
      </c>
      <c r="G963" s="8" t="s">
        <v>984</v>
      </c>
      <c r="H963" s="8" t="s">
        <v>423</v>
      </c>
      <c r="I963" s="68">
        <f>88125</f>
        <v>88125</v>
      </c>
      <c r="J963" s="67">
        <f>I963/0.75</f>
        <v>117500</v>
      </c>
    </row>
    <row r="964" spans="1:10" ht="22.5">
      <c r="A964" s="3" t="s">
        <v>565</v>
      </c>
      <c r="B964" s="66">
        <v>2</v>
      </c>
      <c r="C964" s="8">
        <v>4</v>
      </c>
      <c r="D964" s="3" t="s">
        <v>348</v>
      </c>
      <c r="E964" s="3" t="s">
        <v>226</v>
      </c>
      <c r="F964" s="4" t="s">
        <v>678</v>
      </c>
      <c r="G964" s="8" t="s">
        <v>983</v>
      </c>
      <c r="H964" s="8" t="s">
        <v>330</v>
      </c>
      <c r="I964" s="67">
        <v>123750</v>
      </c>
      <c r="J964" s="67">
        <f>I964/0.75</f>
        <v>165000</v>
      </c>
    </row>
    <row r="965" spans="1:10" ht="22.5">
      <c r="A965" s="24" t="s">
        <v>565</v>
      </c>
      <c r="B965" s="6">
        <v>2</v>
      </c>
      <c r="C965" s="6">
        <v>4</v>
      </c>
      <c r="D965" s="7" t="s">
        <v>348</v>
      </c>
      <c r="E965" s="24" t="s">
        <v>226</v>
      </c>
      <c r="F965" s="24"/>
      <c r="G965" s="6"/>
      <c r="H965" s="6"/>
      <c r="I965" s="13">
        <f>SUBTOTAL(9,I963:I964)</f>
        <v>211875</v>
      </c>
      <c r="J965" s="13">
        <f>SUBTOTAL(9,J963:J964)</f>
        <v>282500</v>
      </c>
    </row>
    <row r="966" spans="1:10" ht="45">
      <c r="A966" s="3" t="s">
        <v>561</v>
      </c>
      <c r="B966" s="66">
        <v>2</v>
      </c>
      <c r="C966" s="8">
        <v>1</v>
      </c>
      <c r="D966" s="3" t="s">
        <v>319</v>
      </c>
      <c r="E966" s="3" t="s">
        <v>217</v>
      </c>
      <c r="F966" s="4" t="s">
        <v>415</v>
      </c>
      <c r="G966" s="8" t="s">
        <v>983</v>
      </c>
      <c r="H966" s="8" t="s">
        <v>330</v>
      </c>
      <c r="I966" s="67">
        <v>360000</v>
      </c>
      <c r="J966" s="67">
        <f aca="true" t="shared" si="22" ref="J966:J971">I966/0.75</f>
        <v>480000</v>
      </c>
    </row>
    <row r="967" spans="1:10" ht="33.75">
      <c r="A967" s="3" t="s">
        <v>561</v>
      </c>
      <c r="B967" s="66">
        <v>2</v>
      </c>
      <c r="C967" s="8">
        <v>1</v>
      </c>
      <c r="D967" s="3" t="s">
        <v>319</v>
      </c>
      <c r="E967" s="3" t="s">
        <v>217</v>
      </c>
      <c r="F967" s="3" t="s">
        <v>374</v>
      </c>
      <c r="G967" s="8" t="s">
        <v>983</v>
      </c>
      <c r="H967" s="8" t="s">
        <v>423</v>
      </c>
      <c r="I967" s="67">
        <v>135000</v>
      </c>
      <c r="J967" s="67">
        <f t="shared" si="22"/>
        <v>180000</v>
      </c>
    </row>
    <row r="968" spans="1:10" ht="33.75">
      <c r="A968" s="3" t="s">
        <v>561</v>
      </c>
      <c r="B968" s="66">
        <v>2</v>
      </c>
      <c r="C968" s="8">
        <v>1</v>
      </c>
      <c r="D968" s="3" t="s">
        <v>319</v>
      </c>
      <c r="E968" s="3" t="s">
        <v>217</v>
      </c>
      <c r="F968" s="3" t="s">
        <v>550</v>
      </c>
      <c r="G968" s="8" t="s">
        <v>983</v>
      </c>
      <c r="H968" s="8" t="s">
        <v>423</v>
      </c>
      <c r="I968" s="67">
        <v>186000</v>
      </c>
      <c r="J968" s="67">
        <f t="shared" si="22"/>
        <v>248000</v>
      </c>
    </row>
    <row r="969" spans="1:10" ht="33.75">
      <c r="A969" s="3" t="s">
        <v>561</v>
      </c>
      <c r="B969" s="66">
        <v>2</v>
      </c>
      <c r="C969" s="8">
        <v>1</v>
      </c>
      <c r="D969" s="3" t="s">
        <v>319</v>
      </c>
      <c r="E969" s="3" t="s">
        <v>217</v>
      </c>
      <c r="F969" s="3" t="s">
        <v>320</v>
      </c>
      <c r="G969" s="8" t="s">
        <v>983</v>
      </c>
      <c r="H969" s="8" t="s">
        <v>423</v>
      </c>
      <c r="I969" s="67">
        <v>120600</v>
      </c>
      <c r="J969" s="67">
        <f t="shared" si="22"/>
        <v>160800</v>
      </c>
    </row>
    <row r="970" spans="1:10" ht="33.75">
      <c r="A970" s="3" t="s">
        <v>561</v>
      </c>
      <c r="B970" s="66">
        <v>2</v>
      </c>
      <c r="C970" s="8">
        <v>1</v>
      </c>
      <c r="D970" s="3" t="s">
        <v>319</v>
      </c>
      <c r="E970" s="3" t="s">
        <v>217</v>
      </c>
      <c r="F970" s="3" t="s">
        <v>243</v>
      </c>
      <c r="G970" s="8" t="s">
        <v>984</v>
      </c>
      <c r="H970" s="8" t="s">
        <v>423</v>
      </c>
      <c r="I970" s="67">
        <v>97500</v>
      </c>
      <c r="J970" s="67">
        <f t="shared" si="22"/>
        <v>130000</v>
      </c>
    </row>
    <row r="971" spans="1:10" ht="33.75">
      <c r="A971" s="3" t="s">
        <v>561</v>
      </c>
      <c r="B971" s="66">
        <v>2</v>
      </c>
      <c r="C971" s="8">
        <v>1</v>
      </c>
      <c r="D971" s="3" t="s">
        <v>319</v>
      </c>
      <c r="E971" s="3" t="s">
        <v>217</v>
      </c>
      <c r="F971" s="3" t="s">
        <v>679</v>
      </c>
      <c r="G971" s="8" t="s">
        <v>984</v>
      </c>
      <c r="H971" s="8" t="s">
        <v>423</v>
      </c>
      <c r="I971" s="67">
        <v>97500</v>
      </c>
      <c r="J971" s="67">
        <f t="shared" si="22"/>
        <v>130000</v>
      </c>
    </row>
    <row r="972" spans="1:10" ht="33.75">
      <c r="A972" s="24" t="s">
        <v>561</v>
      </c>
      <c r="B972" s="6">
        <v>2</v>
      </c>
      <c r="C972" s="6">
        <v>1</v>
      </c>
      <c r="D972" s="7" t="s">
        <v>319</v>
      </c>
      <c r="E972" s="24" t="s">
        <v>217</v>
      </c>
      <c r="F972" s="24"/>
      <c r="G972" s="6"/>
      <c r="H972" s="6"/>
      <c r="I972" s="13">
        <f>SUBTOTAL(9,I966:I971)</f>
        <v>996600</v>
      </c>
      <c r="J972" s="13">
        <f>SUBTOTAL(9,J966:J971)</f>
        <v>1328800</v>
      </c>
    </row>
    <row r="973" spans="1:10" ht="33.75">
      <c r="A973" s="3" t="s">
        <v>563</v>
      </c>
      <c r="B973" s="66">
        <v>2</v>
      </c>
      <c r="C973" s="8">
        <v>2</v>
      </c>
      <c r="D973" s="3" t="s">
        <v>321</v>
      </c>
      <c r="E973" s="3" t="s">
        <v>245</v>
      </c>
      <c r="F973" s="4" t="s">
        <v>847</v>
      </c>
      <c r="G973" s="8" t="s">
        <v>983</v>
      </c>
      <c r="H973" s="8" t="s">
        <v>330</v>
      </c>
      <c r="I973" s="68">
        <f>2044005.19+1374600</f>
        <v>3418605.19</v>
      </c>
      <c r="J973" s="67">
        <f>I973/0.75</f>
        <v>4558140.253333333</v>
      </c>
    </row>
    <row r="974" spans="1:10" ht="33.75">
      <c r="A974" s="3" t="s">
        <v>563</v>
      </c>
      <c r="B974" s="66">
        <v>2</v>
      </c>
      <c r="C974" s="8">
        <v>2</v>
      </c>
      <c r="D974" s="3" t="s">
        <v>321</v>
      </c>
      <c r="E974" s="3" t="s">
        <v>245</v>
      </c>
      <c r="F974" s="3" t="s">
        <v>844</v>
      </c>
      <c r="G974" s="8" t="s">
        <v>984</v>
      </c>
      <c r="H974" s="8" t="s">
        <v>423</v>
      </c>
      <c r="I974" s="67">
        <v>100000</v>
      </c>
      <c r="J974" s="67">
        <f>I974/0.75</f>
        <v>133333.33333333334</v>
      </c>
    </row>
    <row r="975" spans="1:10" ht="33.75">
      <c r="A975" s="24" t="s">
        <v>563</v>
      </c>
      <c r="B975" s="6">
        <v>2</v>
      </c>
      <c r="C975" s="6">
        <v>2</v>
      </c>
      <c r="D975" s="7" t="s">
        <v>321</v>
      </c>
      <c r="E975" s="24" t="s">
        <v>245</v>
      </c>
      <c r="F975" s="24"/>
      <c r="G975" s="6"/>
      <c r="H975" s="6"/>
      <c r="I975" s="13">
        <f>SUBTOTAL(9,I973:I974)</f>
        <v>3518605.19</v>
      </c>
      <c r="J975" s="13">
        <f>SUBTOTAL(9,J973:J974)</f>
        <v>4691473.586666666</v>
      </c>
    </row>
    <row r="976" spans="1:10" ht="56.25">
      <c r="A976" s="3" t="s">
        <v>807</v>
      </c>
      <c r="B976" s="66">
        <v>2</v>
      </c>
      <c r="C976" s="8">
        <v>4</v>
      </c>
      <c r="D976" s="3" t="s">
        <v>625</v>
      </c>
      <c r="E976" s="3" t="s">
        <v>0</v>
      </c>
      <c r="F976" s="3" t="s">
        <v>1</v>
      </c>
      <c r="G976" s="8" t="s">
        <v>983</v>
      </c>
      <c r="H976" s="8" t="s">
        <v>423</v>
      </c>
      <c r="I976" s="67">
        <v>240000</v>
      </c>
      <c r="J976" s="67">
        <f aca="true" t="shared" si="23" ref="J976:J981">I976/0.75</f>
        <v>320000</v>
      </c>
    </row>
    <row r="977" spans="1:10" ht="56.25">
      <c r="A977" s="3" t="s">
        <v>807</v>
      </c>
      <c r="B977" s="66">
        <v>2</v>
      </c>
      <c r="C977" s="8">
        <v>4</v>
      </c>
      <c r="D977" s="3" t="s">
        <v>625</v>
      </c>
      <c r="E977" s="3" t="s">
        <v>0</v>
      </c>
      <c r="F977" s="3" t="s">
        <v>626</v>
      </c>
      <c r="G977" s="8" t="s">
        <v>983</v>
      </c>
      <c r="H977" s="8" t="s">
        <v>423</v>
      </c>
      <c r="I977" s="67">
        <v>45000</v>
      </c>
      <c r="J977" s="67">
        <f t="shared" si="23"/>
        <v>60000</v>
      </c>
    </row>
    <row r="978" spans="1:10" ht="56.25">
      <c r="A978" s="3" t="s">
        <v>807</v>
      </c>
      <c r="B978" s="66">
        <v>2</v>
      </c>
      <c r="C978" s="8">
        <v>4</v>
      </c>
      <c r="D978" s="3" t="s">
        <v>625</v>
      </c>
      <c r="E978" s="3" t="s">
        <v>0</v>
      </c>
      <c r="F978" s="3" t="s">
        <v>266</v>
      </c>
      <c r="G978" s="8" t="s">
        <v>983</v>
      </c>
      <c r="H978" s="8" t="s">
        <v>423</v>
      </c>
      <c r="I978" s="67">
        <v>99679.8</v>
      </c>
      <c r="J978" s="67">
        <f t="shared" si="23"/>
        <v>132906.4</v>
      </c>
    </row>
    <row r="979" spans="1:10" ht="56.25">
      <c r="A979" s="3" t="s">
        <v>807</v>
      </c>
      <c r="B979" s="66">
        <v>2</v>
      </c>
      <c r="C979" s="8">
        <v>4</v>
      </c>
      <c r="D979" s="3" t="s">
        <v>625</v>
      </c>
      <c r="E979" s="3" t="s">
        <v>0</v>
      </c>
      <c r="F979" s="4" t="s">
        <v>533</v>
      </c>
      <c r="G979" s="8" t="s">
        <v>984</v>
      </c>
      <c r="H979" s="8" t="s">
        <v>330</v>
      </c>
      <c r="I979" s="67">
        <v>54750</v>
      </c>
      <c r="J979" s="67">
        <f t="shared" si="23"/>
        <v>73000</v>
      </c>
    </row>
    <row r="980" spans="1:10" ht="56.25">
      <c r="A980" s="3" t="s">
        <v>807</v>
      </c>
      <c r="B980" s="66">
        <v>2</v>
      </c>
      <c r="C980" s="8">
        <v>4</v>
      </c>
      <c r="D980" s="3" t="s">
        <v>625</v>
      </c>
      <c r="E980" s="3" t="s">
        <v>0</v>
      </c>
      <c r="F980" s="3" t="s">
        <v>636</v>
      </c>
      <c r="G980" s="8" t="s">
        <v>984</v>
      </c>
      <c r="H980" s="8" t="s">
        <v>423</v>
      </c>
      <c r="I980" s="67">
        <v>56250</v>
      </c>
      <c r="J980" s="67">
        <f t="shared" si="23"/>
        <v>75000</v>
      </c>
    </row>
    <row r="981" spans="1:10" ht="56.25">
      <c r="A981" s="3" t="s">
        <v>807</v>
      </c>
      <c r="B981" s="66">
        <v>2</v>
      </c>
      <c r="C981" s="8">
        <v>4</v>
      </c>
      <c r="D981" s="3" t="s">
        <v>625</v>
      </c>
      <c r="E981" s="3" t="s">
        <v>0</v>
      </c>
      <c r="F981" s="3" t="s">
        <v>795</v>
      </c>
      <c r="G981" s="8" t="s">
        <v>983</v>
      </c>
      <c r="H981" s="8" t="s">
        <v>423</v>
      </c>
      <c r="I981" s="68">
        <f>377115-262.07+225000</f>
        <v>601852.9299999999</v>
      </c>
      <c r="J981" s="67">
        <f t="shared" si="23"/>
        <v>802470.5733333332</v>
      </c>
    </row>
    <row r="982" spans="1:10" ht="56.25">
      <c r="A982" s="24" t="s">
        <v>807</v>
      </c>
      <c r="B982" s="6">
        <v>2</v>
      </c>
      <c r="C982" s="6">
        <v>4</v>
      </c>
      <c r="D982" s="7" t="s">
        <v>625</v>
      </c>
      <c r="E982" s="24" t="s">
        <v>0</v>
      </c>
      <c r="F982" s="24"/>
      <c r="G982" s="6"/>
      <c r="H982" s="6"/>
      <c r="I982" s="13">
        <f>SUBTOTAL(9,I976:I981)</f>
        <v>1097532.73</v>
      </c>
      <c r="J982" s="13">
        <f>SUBTOTAL(9,J976:J981)</f>
        <v>1463376.9733333332</v>
      </c>
    </row>
    <row r="983" spans="1:10" ht="22.5">
      <c r="A983" s="3" t="s">
        <v>807</v>
      </c>
      <c r="B983" s="66">
        <v>2</v>
      </c>
      <c r="C983" s="8">
        <v>3</v>
      </c>
      <c r="D983" s="3" t="s">
        <v>627</v>
      </c>
      <c r="E983" s="3" t="s">
        <v>286</v>
      </c>
      <c r="F983" s="3" t="s">
        <v>574</v>
      </c>
      <c r="G983" s="8" t="s">
        <v>984</v>
      </c>
      <c r="H983" s="8" t="s">
        <v>423</v>
      </c>
      <c r="I983" s="67">
        <v>75000</v>
      </c>
      <c r="J983" s="67">
        <f aca="true" t="shared" si="24" ref="J983:J989">I983/0.75</f>
        <v>100000</v>
      </c>
    </row>
    <row r="984" spans="1:10" ht="22.5">
      <c r="A984" s="3" t="s">
        <v>807</v>
      </c>
      <c r="B984" s="66">
        <v>2</v>
      </c>
      <c r="C984" s="8">
        <v>3</v>
      </c>
      <c r="D984" s="3" t="s">
        <v>627</v>
      </c>
      <c r="E984" s="3" t="s">
        <v>286</v>
      </c>
      <c r="F984" s="4" t="s">
        <v>628</v>
      </c>
      <c r="G984" s="8" t="s">
        <v>983</v>
      </c>
      <c r="H984" s="8" t="s">
        <v>330</v>
      </c>
      <c r="I984" s="67">
        <v>227947.5</v>
      </c>
      <c r="J984" s="67">
        <f t="shared" si="24"/>
        <v>303930</v>
      </c>
    </row>
    <row r="985" spans="1:10" ht="22.5">
      <c r="A985" s="3" t="s">
        <v>807</v>
      </c>
      <c r="B985" s="66">
        <v>2</v>
      </c>
      <c r="C985" s="8">
        <v>3</v>
      </c>
      <c r="D985" s="3" t="s">
        <v>627</v>
      </c>
      <c r="E985" s="3" t="s">
        <v>286</v>
      </c>
      <c r="F985" s="3" t="s">
        <v>705</v>
      </c>
      <c r="G985" s="8" t="s">
        <v>983</v>
      </c>
      <c r="H985" s="8" t="s">
        <v>423</v>
      </c>
      <c r="I985" s="67">
        <v>68594.7</v>
      </c>
      <c r="J985" s="67">
        <f t="shared" si="24"/>
        <v>91459.59999999999</v>
      </c>
    </row>
    <row r="986" spans="1:10" ht="22.5">
      <c r="A986" s="3" t="s">
        <v>807</v>
      </c>
      <c r="B986" s="66">
        <v>2</v>
      </c>
      <c r="C986" s="8">
        <v>3</v>
      </c>
      <c r="D986" s="3" t="s">
        <v>627</v>
      </c>
      <c r="E986" s="3" t="s">
        <v>286</v>
      </c>
      <c r="F986" s="3" t="s">
        <v>704</v>
      </c>
      <c r="G986" s="8" t="s">
        <v>983</v>
      </c>
      <c r="H986" s="8" t="s">
        <v>423</v>
      </c>
      <c r="I986" s="67">
        <v>89214.99</v>
      </c>
      <c r="J986" s="67">
        <f t="shared" si="24"/>
        <v>118953.32</v>
      </c>
    </row>
    <row r="987" spans="1:10" ht="22.5">
      <c r="A987" s="3" t="s">
        <v>807</v>
      </c>
      <c r="B987" s="66">
        <v>2</v>
      </c>
      <c r="C987" s="8">
        <v>3</v>
      </c>
      <c r="D987" s="3" t="s">
        <v>627</v>
      </c>
      <c r="E987" s="3" t="s">
        <v>286</v>
      </c>
      <c r="F987" s="3" t="s">
        <v>853</v>
      </c>
      <c r="G987" s="8" t="s">
        <v>983</v>
      </c>
      <c r="H987" s="8" t="s">
        <v>423</v>
      </c>
      <c r="I987" s="67">
        <v>207945</v>
      </c>
      <c r="J987" s="67">
        <f t="shared" si="24"/>
        <v>277260</v>
      </c>
    </row>
    <row r="988" spans="1:10" ht="22.5">
      <c r="A988" s="3" t="s">
        <v>807</v>
      </c>
      <c r="B988" s="66">
        <v>2</v>
      </c>
      <c r="C988" s="8">
        <v>3</v>
      </c>
      <c r="D988" s="3" t="s">
        <v>627</v>
      </c>
      <c r="E988" s="3" t="s">
        <v>286</v>
      </c>
      <c r="F988" s="3" t="s">
        <v>425</v>
      </c>
      <c r="G988" s="8" t="s">
        <v>984</v>
      </c>
      <c r="H988" s="8" t="s">
        <v>423</v>
      </c>
      <c r="I988" s="67">
        <v>86250</v>
      </c>
      <c r="J988" s="67">
        <f t="shared" si="24"/>
        <v>115000</v>
      </c>
    </row>
    <row r="989" spans="1:10" ht="22.5">
      <c r="A989" s="3" t="s">
        <v>807</v>
      </c>
      <c r="B989" s="66">
        <v>2</v>
      </c>
      <c r="C989" s="8">
        <v>3</v>
      </c>
      <c r="D989" s="3" t="s">
        <v>627</v>
      </c>
      <c r="E989" s="3" t="s">
        <v>286</v>
      </c>
      <c r="F989" s="3" t="s">
        <v>706</v>
      </c>
      <c r="G989" s="8" t="s">
        <v>984</v>
      </c>
      <c r="H989" s="8" t="s">
        <v>423</v>
      </c>
      <c r="I989" s="67">
        <v>42000</v>
      </c>
      <c r="J989" s="67">
        <f t="shared" si="24"/>
        <v>56000</v>
      </c>
    </row>
    <row r="990" spans="1:10" ht="22.5">
      <c r="A990" s="24" t="s">
        <v>807</v>
      </c>
      <c r="B990" s="6">
        <v>2</v>
      </c>
      <c r="C990" s="6">
        <v>3</v>
      </c>
      <c r="D990" s="7" t="s">
        <v>627</v>
      </c>
      <c r="E990" s="24" t="s">
        <v>286</v>
      </c>
      <c r="F990" s="24"/>
      <c r="G990" s="6"/>
      <c r="H990" s="6"/>
      <c r="I990" s="13">
        <f>SUBTOTAL(9,I983:I989)</f>
        <v>796952.19</v>
      </c>
      <c r="J990" s="13">
        <f>SUBTOTAL(9,J983:J989)</f>
        <v>1062602.92</v>
      </c>
    </row>
    <row r="991" spans="1:10" ht="33.75">
      <c r="A991" s="3" t="s">
        <v>565</v>
      </c>
      <c r="B991" s="66">
        <v>2</v>
      </c>
      <c r="C991" s="8">
        <v>1</v>
      </c>
      <c r="D991" s="3" t="s">
        <v>630</v>
      </c>
      <c r="E991" s="3" t="s">
        <v>241</v>
      </c>
      <c r="F991" s="4" t="s">
        <v>639</v>
      </c>
      <c r="G991" s="8" t="s">
        <v>983</v>
      </c>
      <c r="H991" s="8" t="s">
        <v>330</v>
      </c>
      <c r="I991" s="67">
        <v>60000</v>
      </c>
      <c r="J991" s="67">
        <f>I991/0.75</f>
        <v>80000</v>
      </c>
    </row>
    <row r="992" spans="1:10" ht="22.5">
      <c r="A992" s="3" t="s">
        <v>565</v>
      </c>
      <c r="B992" s="66">
        <v>2</v>
      </c>
      <c r="C992" s="8">
        <v>1</v>
      </c>
      <c r="D992" s="3" t="s">
        <v>630</v>
      </c>
      <c r="E992" s="3" t="s">
        <v>241</v>
      </c>
      <c r="F992" s="3" t="s">
        <v>1016</v>
      </c>
      <c r="G992" s="8" t="s">
        <v>984</v>
      </c>
      <c r="H992" s="8" t="s">
        <v>423</v>
      </c>
      <c r="I992" s="67">
        <v>30000</v>
      </c>
      <c r="J992" s="67">
        <f>I992/0.75</f>
        <v>40000</v>
      </c>
    </row>
    <row r="993" spans="1:10" ht="22.5">
      <c r="A993" s="3" t="s">
        <v>565</v>
      </c>
      <c r="B993" s="66">
        <v>2</v>
      </c>
      <c r="C993" s="8">
        <v>1</v>
      </c>
      <c r="D993" s="3" t="s">
        <v>630</v>
      </c>
      <c r="E993" s="3" t="s">
        <v>241</v>
      </c>
      <c r="F993" s="3" t="s">
        <v>291</v>
      </c>
      <c r="G993" s="8" t="s">
        <v>984</v>
      </c>
      <c r="H993" s="8" t="s">
        <v>423</v>
      </c>
      <c r="I993" s="67">
        <v>25000</v>
      </c>
      <c r="J993" s="67">
        <f>I993/0.75</f>
        <v>33333.333333333336</v>
      </c>
    </row>
    <row r="994" spans="1:10" ht="22.5">
      <c r="A994" s="24" t="s">
        <v>565</v>
      </c>
      <c r="B994" s="6">
        <v>2</v>
      </c>
      <c r="C994" s="6">
        <v>1</v>
      </c>
      <c r="D994" s="7" t="s">
        <v>630</v>
      </c>
      <c r="E994" s="24" t="s">
        <v>241</v>
      </c>
      <c r="F994" s="24"/>
      <c r="G994" s="6"/>
      <c r="H994" s="6"/>
      <c r="I994" s="13">
        <f>SUBTOTAL(9,I991:I993)</f>
        <v>115000</v>
      </c>
      <c r="J994" s="13">
        <f>SUBTOTAL(9,J991:J993)</f>
        <v>153333.33333333334</v>
      </c>
    </row>
    <row r="995" spans="1:10" ht="22.5">
      <c r="A995" s="3" t="s">
        <v>807</v>
      </c>
      <c r="B995" s="66">
        <v>2</v>
      </c>
      <c r="C995" s="8">
        <v>1</v>
      </c>
      <c r="D995" s="3" t="s">
        <v>292</v>
      </c>
      <c r="E995" s="3" t="s">
        <v>845</v>
      </c>
      <c r="F995" s="3" t="s">
        <v>846</v>
      </c>
      <c r="G995" s="8" t="s">
        <v>983</v>
      </c>
      <c r="H995" s="8" t="s">
        <v>423</v>
      </c>
      <c r="I995" s="67">
        <v>408888.98</v>
      </c>
      <c r="J995" s="67">
        <f aca="true" t="shared" si="25" ref="J995:J1001">I995/0.75</f>
        <v>545185.3066666666</v>
      </c>
    </row>
    <row r="996" spans="1:10" ht="22.5">
      <c r="A996" s="3" t="s">
        <v>807</v>
      </c>
      <c r="B996" s="66">
        <v>2</v>
      </c>
      <c r="C996" s="8">
        <v>1</v>
      </c>
      <c r="D996" s="3" t="s">
        <v>292</v>
      </c>
      <c r="E996" s="3" t="s">
        <v>845</v>
      </c>
      <c r="F996" s="3" t="s">
        <v>591</v>
      </c>
      <c r="G996" s="8" t="s">
        <v>984</v>
      </c>
      <c r="H996" s="8" t="s">
        <v>423</v>
      </c>
      <c r="I996" s="67">
        <v>52040.64</v>
      </c>
      <c r="J996" s="67">
        <f t="shared" si="25"/>
        <v>69387.52</v>
      </c>
    </row>
    <row r="997" spans="1:10" ht="22.5">
      <c r="A997" s="3" t="s">
        <v>807</v>
      </c>
      <c r="B997" s="66">
        <v>2</v>
      </c>
      <c r="C997" s="8">
        <v>1</v>
      </c>
      <c r="D997" s="3" t="s">
        <v>292</v>
      </c>
      <c r="E997" s="3" t="s">
        <v>845</v>
      </c>
      <c r="F997" s="4" t="s">
        <v>259</v>
      </c>
      <c r="G997" s="8" t="s">
        <v>983</v>
      </c>
      <c r="H997" s="8" t="s">
        <v>330</v>
      </c>
      <c r="I997" s="67">
        <v>577524</v>
      </c>
      <c r="J997" s="67">
        <f t="shared" si="25"/>
        <v>770032</v>
      </c>
    </row>
    <row r="998" spans="1:10" ht="22.5">
      <c r="A998" s="3" t="s">
        <v>807</v>
      </c>
      <c r="B998" s="66">
        <v>2</v>
      </c>
      <c r="C998" s="8">
        <v>1</v>
      </c>
      <c r="D998" s="3" t="s">
        <v>292</v>
      </c>
      <c r="E998" s="3" t="s">
        <v>845</v>
      </c>
      <c r="F998" s="3" t="s">
        <v>615</v>
      </c>
      <c r="G998" s="8" t="s">
        <v>983</v>
      </c>
      <c r="H998" s="8" t="s">
        <v>423</v>
      </c>
      <c r="I998" s="67">
        <v>143202.93</v>
      </c>
      <c r="J998" s="67">
        <f t="shared" si="25"/>
        <v>190937.24</v>
      </c>
    </row>
    <row r="999" spans="1:10" ht="22.5">
      <c r="A999" s="3" t="s">
        <v>807</v>
      </c>
      <c r="B999" s="66">
        <v>2</v>
      </c>
      <c r="C999" s="8">
        <v>1</v>
      </c>
      <c r="D999" s="3" t="s">
        <v>292</v>
      </c>
      <c r="E999" s="3" t="s">
        <v>845</v>
      </c>
      <c r="F999" s="3" t="s">
        <v>263</v>
      </c>
      <c r="G999" s="8" t="s">
        <v>984</v>
      </c>
      <c r="H999" s="8" t="s">
        <v>423</v>
      </c>
      <c r="I999" s="67">
        <v>106167.5</v>
      </c>
      <c r="J999" s="67">
        <f t="shared" si="25"/>
        <v>141556.66666666666</v>
      </c>
    </row>
    <row r="1000" spans="1:10" ht="22.5">
      <c r="A1000" s="3" t="s">
        <v>807</v>
      </c>
      <c r="B1000" s="66">
        <v>2</v>
      </c>
      <c r="C1000" s="8">
        <v>1</v>
      </c>
      <c r="D1000" s="3" t="s">
        <v>292</v>
      </c>
      <c r="E1000" s="3" t="s">
        <v>845</v>
      </c>
      <c r="F1000" s="3" t="s">
        <v>459</v>
      </c>
      <c r="G1000" s="8" t="s">
        <v>984</v>
      </c>
      <c r="H1000" s="8" t="s">
        <v>423</v>
      </c>
      <c r="I1000" s="67">
        <f>26184.18-26184.18</f>
        <v>0</v>
      </c>
      <c r="J1000" s="67">
        <f t="shared" si="25"/>
        <v>0</v>
      </c>
    </row>
    <row r="1001" spans="1:10" ht="22.5">
      <c r="A1001" s="3" t="s">
        <v>807</v>
      </c>
      <c r="B1001" s="66">
        <v>2</v>
      </c>
      <c r="C1001" s="8">
        <v>1</v>
      </c>
      <c r="D1001" s="3" t="s">
        <v>292</v>
      </c>
      <c r="E1001" s="3" t="s">
        <v>845</v>
      </c>
      <c r="F1001" s="3" t="s">
        <v>460</v>
      </c>
      <c r="G1001" s="8" t="s">
        <v>984</v>
      </c>
      <c r="H1001" s="8" t="s">
        <v>423</v>
      </c>
      <c r="I1001" s="67">
        <v>26184.18</v>
      </c>
      <c r="J1001" s="67">
        <f t="shared" si="25"/>
        <v>34912.24</v>
      </c>
    </row>
    <row r="1002" spans="1:10" ht="22.5">
      <c r="A1002" s="24" t="s">
        <v>807</v>
      </c>
      <c r="B1002" s="6">
        <v>2</v>
      </c>
      <c r="C1002" s="6">
        <v>1</v>
      </c>
      <c r="D1002" s="7" t="s">
        <v>292</v>
      </c>
      <c r="E1002" s="24" t="s">
        <v>845</v>
      </c>
      <c r="F1002" s="24"/>
      <c r="G1002" s="6"/>
      <c r="H1002" s="6"/>
      <c r="I1002" s="13">
        <f>SUBTOTAL(9,I995:I1001)</f>
        <v>1314008.23</v>
      </c>
      <c r="J1002" s="13">
        <f>SUBTOTAL(9,J995:J1001)</f>
        <v>1752010.9733333334</v>
      </c>
    </row>
    <row r="1003" spans="1:10" ht="33.75">
      <c r="A1003" s="3" t="s">
        <v>563</v>
      </c>
      <c r="B1003" s="66">
        <v>2</v>
      </c>
      <c r="C1003" s="8">
        <v>1</v>
      </c>
      <c r="D1003" s="3" t="s">
        <v>469</v>
      </c>
      <c r="E1003" s="3" t="s">
        <v>663</v>
      </c>
      <c r="F1003" s="4" t="s">
        <v>470</v>
      </c>
      <c r="G1003" s="8" t="s">
        <v>983</v>
      </c>
      <c r="H1003" s="8" t="s">
        <v>330</v>
      </c>
      <c r="I1003" s="67">
        <v>525000</v>
      </c>
      <c r="J1003" s="67">
        <f aca="true" t="shared" si="26" ref="J1003:J1012">I1003/0.75</f>
        <v>700000</v>
      </c>
    </row>
    <row r="1004" spans="1:10" ht="33.75">
      <c r="A1004" s="3" t="s">
        <v>563</v>
      </c>
      <c r="B1004" s="66">
        <v>2</v>
      </c>
      <c r="C1004" s="8">
        <v>1</v>
      </c>
      <c r="D1004" s="3" t="s">
        <v>469</v>
      </c>
      <c r="E1004" s="3" t="s">
        <v>663</v>
      </c>
      <c r="F1004" s="3" t="s">
        <v>695</v>
      </c>
      <c r="G1004" s="8" t="s">
        <v>983</v>
      </c>
      <c r="H1004" s="8" t="s">
        <v>423</v>
      </c>
      <c r="I1004" s="67">
        <v>300000</v>
      </c>
      <c r="J1004" s="67">
        <f t="shared" si="26"/>
        <v>400000</v>
      </c>
    </row>
    <row r="1005" spans="1:10" ht="33.75">
      <c r="A1005" s="3" t="s">
        <v>563</v>
      </c>
      <c r="B1005" s="66">
        <v>2</v>
      </c>
      <c r="C1005" s="8">
        <v>1</v>
      </c>
      <c r="D1005" s="3" t="s">
        <v>469</v>
      </c>
      <c r="E1005" s="3" t="s">
        <v>663</v>
      </c>
      <c r="F1005" s="3" t="s">
        <v>389</v>
      </c>
      <c r="G1005" s="8" t="s">
        <v>984</v>
      </c>
      <c r="H1005" s="8" t="s">
        <v>423</v>
      </c>
      <c r="I1005" s="67">
        <v>0</v>
      </c>
      <c r="J1005" s="67">
        <f t="shared" si="26"/>
        <v>0</v>
      </c>
    </row>
    <row r="1006" spans="1:10" ht="33.75">
      <c r="A1006" s="3" t="s">
        <v>563</v>
      </c>
      <c r="B1006" s="66">
        <v>2</v>
      </c>
      <c r="C1006" s="8">
        <v>1</v>
      </c>
      <c r="D1006" s="3" t="s">
        <v>469</v>
      </c>
      <c r="E1006" s="3" t="s">
        <v>663</v>
      </c>
      <c r="F1006" s="3" t="s">
        <v>640</v>
      </c>
      <c r="G1006" s="8" t="s">
        <v>983</v>
      </c>
      <c r="H1006" s="8" t="s">
        <v>423</v>
      </c>
      <c r="I1006" s="67">
        <v>0</v>
      </c>
      <c r="J1006" s="67">
        <f t="shared" si="26"/>
        <v>0</v>
      </c>
    </row>
    <row r="1007" spans="1:10" ht="33.75">
      <c r="A1007" s="3" t="s">
        <v>563</v>
      </c>
      <c r="B1007" s="66">
        <v>2</v>
      </c>
      <c r="C1007" s="8">
        <v>1</v>
      </c>
      <c r="D1007" s="3" t="s">
        <v>469</v>
      </c>
      <c r="E1007" s="3" t="s">
        <v>663</v>
      </c>
      <c r="F1007" s="3" t="s">
        <v>848</v>
      </c>
      <c r="G1007" s="8" t="s">
        <v>983</v>
      </c>
      <c r="H1007" s="8" t="s">
        <v>423</v>
      </c>
      <c r="I1007" s="67">
        <v>30000</v>
      </c>
      <c r="J1007" s="67">
        <f t="shared" si="26"/>
        <v>40000</v>
      </c>
    </row>
    <row r="1008" spans="1:10" ht="33.75">
      <c r="A1008" s="3" t="s">
        <v>563</v>
      </c>
      <c r="B1008" s="66">
        <v>2</v>
      </c>
      <c r="C1008" s="8">
        <v>1</v>
      </c>
      <c r="D1008" s="3" t="s">
        <v>469</v>
      </c>
      <c r="E1008" s="3" t="s">
        <v>663</v>
      </c>
      <c r="F1008" s="3" t="s">
        <v>745</v>
      </c>
      <c r="G1008" s="8" t="s">
        <v>983</v>
      </c>
      <c r="H1008" s="8" t="s">
        <v>423</v>
      </c>
      <c r="I1008" s="67">
        <v>151070.47</v>
      </c>
      <c r="J1008" s="67">
        <f t="shared" si="26"/>
        <v>201427.29333333333</v>
      </c>
    </row>
    <row r="1009" spans="1:10" ht="33.75">
      <c r="A1009" s="3" t="s">
        <v>563</v>
      </c>
      <c r="B1009" s="66">
        <v>2</v>
      </c>
      <c r="C1009" s="8">
        <v>1</v>
      </c>
      <c r="D1009" s="3" t="s">
        <v>469</v>
      </c>
      <c r="E1009" s="3" t="s">
        <v>663</v>
      </c>
      <c r="F1009" s="3" t="s">
        <v>471</v>
      </c>
      <c r="G1009" s="8" t="s">
        <v>983</v>
      </c>
      <c r="H1009" s="8" t="s">
        <v>423</v>
      </c>
      <c r="I1009" s="67">
        <v>150000</v>
      </c>
      <c r="J1009" s="67">
        <f t="shared" si="26"/>
        <v>200000</v>
      </c>
    </row>
    <row r="1010" spans="1:10" ht="33.75">
      <c r="A1010" s="3" t="s">
        <v>563</v>
      </c>
      <c r="B1010" s="66">
        <v>2</v>
      </c>
      <c r="C1010" s="8">
        <v>1</v>
      </c>
      <c r="D1010" s="3" t="s">
        <v>469</v>
      </c>
      <c r="E1010" s="3" t="s">
        <v>663</v>
      </c>
      <c r="F1010" s="3" t="s">
        <v>472</v>
      </c>
      <c r="G1010" s="8" t="s">
        <v>983</v>
      </c>
      <c r="H1010" s="8" t="s">
        <v>423</v>
      </c>
      <c r="I1010" s="67">
        <v>45000</v>
      </c>
      <c r="J1010" s="67">
        <f t="shared" si="26"/>
        <v>60000</v>
      </c>
    </row>
    <row r="1011" spans="1:10" ht="33.75">
      <c r="A1011" s="3" t="s">
        <v>563</v>
      </c>
      <c r="B1011" s="66">
        <v>2</v>
      </c>
      <c r="C1011" s="8">
        <v>1</v>
      </c>
      <c r="D1011" s="3" t="s">
        <v>469</v>
      </c>
      <c r="E1011" s="3" t="s">
        <v>663</v>
      </c>
      <c r="F1011" s="3" t="s">
        <v>473</v>
      </c>
      <c r="G1011" s="8" t="s">
        <v>983</v>
      </c>
      <c r="H1011" s="8" t="s">
        <v>423</v>
      </c>
      <c r="I1011" s="67">
        <v>0</v>
      </c>
      <c r="J1011" s="67">
        <f t="shared" si="26"/>
        <v>0</v>
      </c>
    </row>
    <row r="1012" spans="1:10" ht="33.75">
      <c r="A1012" s="3" t="s">
        <v>563</v>
      </c>
      <c r="B1012" s="66">
        <v>2</v>
      </c>
      <c r="C1012" s="8">
        <v>1</v>
      </c>
      <c r="D1012" s="3" t="s">
        <v>469</v>
      </c>
      <c r="E1012" s="3" t="s">
        <v>663</v>
      </c>
      <c r="F1012" s="3" t="s">
        <v>552</v>
      </c>
      <c r="G1012" s="8" t="s">
        <v>984</v>
      </c>
      <c r="H1012" s="8" t="s">
        <v>423</v>
      </c>
      <c r="I1012" s="67">
        <v>95011.63</v>
      </c>
      <c r="J1012" s="67">
        <f t="shared" si="26"/>
        <v>126682.17333333334</v>
      </c>
    </row>
    <row r="1013" spans="1:10" ht="33.75">
      <c r="A1013" s="24" t="s">
        <v>563</v>
      </c>
      <c r="B1013" s="6">
        <v>2</v>
      </c>
      <c r="C1013" s="6">
        <v>1</v>
      </c>
      <c r="D1013" s="7" t="s">
        <v>469</v>
      </c>
      <c r="E1013" s="24" t="s">
        <v>663</v>
      </c>
      <c r="F1013" s="24"/>
      <c r="G1013" s="6"/>
      <c r="H1013" s="6"/>
      <c r="I1013" s="13">
        <f>SUBTOTAL(9,I1003:I1012)</f>
        <v>1296082.1</v>
      </c>
      <c r="J1013" s="13">
        <f>SUBTOTAL(9,J1003:J1012)</f>
        <v>1728109.4666666668</v>
      </c>
    </row>
    <row r="1014" spans="1:10" ht="45">
      <c r="A1014" s="3" t="s">
        <v>564</v>
      </c>
      <c r="B1014" s="66">
        <v>2</v>
      </c>
      <c r="C1014" s="8">
        <v>1</v>
      </c>
      <c r="D1014" s="3" t="s">
        <v>474</v>
      </c>
      <c r="E1014" s="3" t="s">
        <v>231</v>
      </c>
      <c r="F1014" s="3" t="s">
        <v>275</v>
      </c>
      <c r="G1014" s="8" t="s">
        <v>984</v>
      </c>
      <c r="H1014" s="8" t="s">
        <v>423</v>
      </c>
      <c r="I1014" s="68">
        <f>46785.38+36408.16</f>
        <v>83193.54000000001</v>
      </c>
      <c r="J1014" s="67">
        <f aca="true" t="shared" si="27" ref="J1014:J1019">I1014/0.75</f>
        <v>110924.72000000002</v>
      </c>
    </row>
    <row r="1015" spans="1:10" ht="45">
      <c r="A1015" s="3" t="s">
        <v>564</v>
      </c>
      <c r="B1015" s="66">
        <v>2</v>
      </c>
      <c r="C1015" s="8">
        <v>1</v>
      </c>
      <c r="D1015" s="3" t="s">
        <v>474</v>
      </c>
      <c r="E1015" s="3" t="s">
        <v>231</v>
      </c>
      <c r="F1015" s="4" t="s">
        <v>475</v>
      </c>
      <c r="G1015" s="8" t="s">
        <v>983</v>
      </c>
      <c r="H1015" s="8" t="s">
        <v>330</v>
      </c>
      <c r="I1015" s="67">
        <v>225000</v>
      </c>
      <c r="J1015" s="67">
        <f t="shared" si="27"/>
        <v>300000</v>
      </c>
    </row>
    <row r="1016" spans="1:10" ht="45">
      <c r="A1016" s="3" t="s">
        <v>564</v>
      </c>
      <c r="B1016" s="66">
        <v>2</v>
      </c>
      <c r="C1016" s="8">
        <v>1</v>
      </c>
      <c r="D1016" s="3" t="s">
        <v>474</v>
      </c>
      <c r="E1016" s="3" t="s">
        <v>231</v>
      </c>
      <c r="F1016" s="3" t="s">
        <v>274</v>
      </c>
      <c r="G1016" s="8" t="s">
        <v>984</v>
      </c>
      <c r="H1016" s="8" t="s">
        <v>423</v>
      </c>
      <c r="I1016" s="67">
        <v>30000</v>
      </c>
      <c r="J1016" s="67">
        <f t="shared" si="27"/>
        <v>40000</v>
      </c>
    </row>
    <row r="1017" spans="1:10" ht="45">
      <c r="A1017" s="3" t="s">
        <v>564</v>
      </c>
      <c r="B1017" s="66">
        <v>2</v>
      </c>
      <c r="C1017" s="8">
        <v>1</v>
      </c>
      <c r="D1017" s="3" t="s">
        <v>474</v>
      </c>
      <c r="E1017" s="3" t="s">
        <v>231</v>
      </c>
      <c r="F1017" s="3" t="s">
        <v>476</v>
      </c>
      <c r="G1017" s="8" t="s">
        <v>983</v>
      </c>
      <c r="H1017" s="8" t="s">
        <v>423</v>
      </c>
      <c r="I1017" s="67">
        <v>225000</v>
      </c>
      <c r="J1017" s="67">
        <f t="shared" si="27"/>
        <v>300000</v>
      </c>
    </row>
    <row r="1018" spans="1:10" ht="45">
      <c r="A1018" s="3" t="s">
        <v>564</v>
      </c>
      <c r="B1018" s="66">
        <v>2</v>
      </c>
      <c r="C1018" s="8">
        <v>1</v>
      </c>
      <c r="D1018" s="3" t="s">
        <v>474</v>
      </c>
      <c r="E1018" s="3" t="s">
        <v>231</v>
      </c>
      <c r="F1018" s="3" t="s">
        <v>372</v>
      </c>
      <c r="G1018" s="8" t="s">
        <v>983</v>
      </c>
      <c r="H1018" s="8" t="s">
        <v>423</v>
      </c>
      <c r="I1018" s="67">
        <v>101622.68</v>
      </c>
      <c r="J1018" s="67">
        <f t="shared" si="27"/>
        <v>135496.90666666665</v>
      </c>
    </row>
    <row r="1019" spans="1:10" ht="45">
      <c r="A1019" s="3" t="s">
        <v>564</v>
      </c>
      <c r="B1019" s="66">
        <v>2</v>
      </c>
      <c r="C1019" s="8">
        <v>1</v>
      </c>
      <c r="D1019" s="3" t="s">
        <v>474</v>
      </c>
      <c r="E1019" s="3" t="s">
        <v>231</v>
      </c>
      <c r="F1019" s="3" t="s">
        <v>641</v>
      </c>
      <c r="G1019" s="8" t="s">
        <v>984</v>
      </c>
      <c r="H1019" s="8" t="s">
        <v>423</v>
      </c>
      <c r="I1019" s="68">
        <f>39909-39909</f>
        <v>0</v>
      </c>
      <c r="J1019" s="67">
        <f t="shared" si="27"/>
        <v>0</v>
      </c>
    </row>
    <row r="1020" spans="1:10" ht="45">
      <c r="A1020" s="24" t="s">
        <v>564</v>
      </c>
      <c r="B1020" s="6">
        <v>2</v>
      </c>
      <c r="C1020" s="6">
        <v>1</v>
      </c>
      <c r="D1020" s="7" t="s">
        <v>474</v>
      </c>
      <c r="E1020" s="24" t="s">
        <v>231</v>
      </c>
      <c r="F1020" s="24"/>
      <c r="G1020" s="6"/>
      <c r="H1020" s="6"/>
      <c r="I1020" s="13">
        <f>SUBTOTAL(9,I1014:I1019)</f>
        <v>664816.22</v>
      </c>
      <c r="J1020" s="13">
        <f>SUBTOTAL(9,J1014:J1019)</f>
        <v>886421.6266666666</v>
      </c>
    </row>
    <row r="1021" spans="1:10" ht="33.75">
      <c r="A1021" s="3" t="s">
        <v>565</v>
      </c>
      <c r="B1021" s="66">
        <v>2</v>
      </c>
      <c r="C1021" s="8">
        <v>2</v>
      </c>
      <c r="D1021" s="3" t="s">
        <v>477</v>
      </c>
      <c r="E1021" s="3" t="s">
        <v>478</v>
      </c>
      <c r="F1021" s="4" t="s">
        <v>682</v>
      </c>
      <c r="G1021" s="8" t="s">
        <v>983</v>
      </c>
      <c r="H1021" s="8" t="s">
        <v>330</v>
      </c>
      <c r="I1021" s="67">
        <v>600000</v>
      </c>
      <c r="J1021" s="67">
        <f>I1021/0.75</f>
        <v>800000</v>
      </c>
    </row>
    <row r="1022" spans="1:10" ht="22.5">
      <c r="A1022" s="24" t="s">
        <v>565</v>
      </c>
      <c r="B1022" s="6">
        <v>2</v>
      </c>
      <c r="C1022" s="6">
        <v>2</v>
      </c>
      <c r="D1022" s="7" t="s">
        <v>477</v>
      </c>
      <c r="E1022" s="24" t="s">
        <v>478</v>
      </c>
      <c r="F1022" s="24"/>
      <c r="G1022" s="6"/>
      <c r="H1022" s="6"/>
      <c r="I1022" s="13">
        <f>SUBTOTAL(9,I1021:I1021)</f>
        <v>600000</v>
      </c>
      <c r="J1022" s="13">
        <f>SUBTOTAL(9,J1021:J1021)</f>
        <v>800000</v>
      </c>
    </row>
    <row r="1023" spans="1:10" ht="33.75">
      <c r="A1023" s="3" t="s">
        <v>561</v>
      </c>
      <c r="B1023" s="66">
        <v>2</v>
      </c>
      <c r="C1023" s="8">
        <v>2</v>
      </c>
      <c r="D1023" s="3" t="s">
        <v>203</v>
      </c>
      <c r="E1023" s="3" t="s">
        <v>417</v>
      </c>
      <c r="F1023" s="4" t="s">
        <v>418</v>
      </c>
      <c r="G1023" s="8" t="s">
        <v>984</v>
      </c>
      <c r="H1023" s="8" t="s">
        <v>330</v>
      </c>
      <c r="I1023" s="67">
        <v>300000</v>
      </c>
      <c r="J1023" s="67">
        <f>I1023/0.75</f>
        <v>400000</v>
      </c>
    </row>
    <row r="1024" spans="1:10" ht="33.75">
      <c r="A1024" s="24" t="s">
        <v>561</v>
      </c>
      <c r="B1024" s="6">
        <v>2</v>
      </c>
      <c r="C1024" s="6">
        <v>2</v>
      </c>
      <c r="D1024" s="7" t="s">
        <v>203</v>
      </c>
      <c r="E1024" s="24" t="s">
        <v>417</v>
      </c>
      <c r="F1024" s="24"/>
      <c r="G1024" s="6"/>
      <c r="H1024" s="6"/>
      <c r="I1024" s="13">
        <f>SUBTOTAL(9,I1023:I1023)</f>
        <v>300000</v>
      </c>
      <c r="J1024" s="13">
        <f>SUBTOTAL(9,J1023:J1023)</f>
        <v>400000</v>
      </c>
    </row>
    <row r="1025" spans="1:10" ht="22.5">
      <c r="A1025" s="3" t="s">
        <v>807</v>
      </c>
      <c r="B1025" s="66">
        <v>2</v>
      </c>
      <c r="C1025" s="8">
        <v>2</v>
      </c>
      <c r="D1025" s="3" t="s">
        <v>378</v>
      </c>
      <c r="E1025" s="3" t="s">
        <v>426</v>
      </c>
      <c r="F1025" s="3" t="s">
        <v>379</v>
      </c>
      <c r="G1025" s="8" t="s">
        <v>983</v>
      </c>
      <c r="H1025" s="8" t="s">
        <v>423</v>
      </c>
      <c r="I1025" s="68">
        <f>292612.5+103050</f>
        <v>395662.5</v>
      </c>
      <c r="J1025" s="67">
        <f aca="true" t="shared" si="28" ref="J1025:J1032">I1025/0.75</f>
        <v>527550</v>
      </c>
    </row>
    <row r="1026" spans="1:10" ht="22.5">
      <c r="A1026" s="3" t="s">
        <v>807</v>
      </c>
      <c r="B1026" s="66">
        <v>2</v>
      </c>
      <c r="C1026" s="8">
        <v>2</v>
      </c>
      <c r="D1026" s="3" t="s">
        <v>378</v>
      </c>
      <c r="E1026" s="3" t="s">
        <v>426</v>
      </c>
      <c r="F1026" s="3" t="s">
        <v>792</v>
      </c>
      <c r="G1026" s="8" t="s">
        <v>984</v>
      </c>
      <c r="H1026" s="8" t="s">
        <v>423</v>
      </c>
      <c r="I1026" s="68">
        <f>150000+77250</f>
        <v>227250</v>
      </c>
      <c r="J1026" s="67">
        <f t="shared" si="28"/>
        <v>303000</v>
      </c>
    </row>
    <row r="1027" spans="1:10" ht="22.5">
      <c r="A1027" s="3" t="s">
        <v>807</v>
      </c>
      <c r="B1027" s="66">
        <v>2</v>
      </c>
      <c r="C1027" s="8">
        <v>2</v>
      </c>
      <c r="D1027" s="3" t="s">
        <v>378</v>
      </c>
      <c r="E1027" s="3" t="s">
        <v>426</v>
      </c>
      <c r="F1027" s="3" t="s">
        <v>567</v>
      </c>
      <c r="G1027" s="8" t="s">
        <v>984</v>
      </c>
      <c r="H1027" s="8" t="s">
        <v>423</v>
      </c>
      <c r="I1027" s="68">
        <f>377250+322337.25</f>
        <v>699587.25</v>
      </c>
      <c r="J1027" s="67">
        <f t="shared" si="28"/>
        <v>932783</v>
      </c>
    </row>
    <row r="1028" spans="1:10" ht="22.5">
      <c r="A1028" s="3" t="s">
        <v>807</v>
      </c>
      <c r="B1028" s="66">
        <v>2</v>
      </c>
      <c r="C1028" s="8">
        <v>2</v>
      </c>
      <c r="D1028" s="3" t="s">
        <v>378</v>
      </c>
      <c r="E1028" s="3" t="s">
        <v>426</v>
      </c>
      <c r="F1028" s="3" t="s">
        <v>543</v>
      </c>
      <c r="G1028" s="8" t="s">
        <v>984</v>
      </c>
      <c r="H1028" s="8" t="s">
        <v>423</v>
      </c>
      <c r="I1028" s="68">
        <f>60000+25844.13</f>
        <v>85844.13</v>
      </c>
      <c r="J1028" s="67">
        <f t="shared" si="28"/>
        <v>114458.84000000001</v>
      </c>
    </row>
    <row r="1029" spans="1:10" ht="22.5">
      <c r="A1029" s="3" t="s">
        <v>807</v>
      </c>
      <c r="B1029" s="66">
        <v>2</v>
      </c>
      <c r="C1029" s="8">
        <v>2</v>
      </c>
      <c r="D1029" s="3" t="s">
        <v>378</v>
      </c>
      <c r="E1029" s="3" t="s">
        <v>426</v>
      </c>
      <c r="F1029" s="4" t="s">
        <v>427</v>
      </c>
      <c r="G1029" s="8" t="s">
        <v>983</v>
      </c>
      <c r="H1029" s="8" t="s">
        <v>330</v>
      </c>
      <c r="I1029" s="68">
        <f>435000+45000</f>
        <v>480000</v>
      </c>
      <c r="J1029" s="67">
        <f t="shared" si="28"/>
        <v>640000</v>
      </c>
    </row>
    <row r="1030" spans="1:10" ht="22.5">
      <c r="A1030" s="3" t="s">
        <v>807</v>
      </c>
      <c r="B1030" s="66">
        <v>2</v>
      </c>
      <c r="C1030" s="8">
        <v>2</v>
      </c>
      <c r="D1030" s="3" t="s">
        <v>378</v>
      </c>
      <c r="E1030" s="3" t="s">
        <v>426</v>
      </c>
      <c r="F1030" s="3" t="s">
        <v>575</v>
      </c>
      <c r="G1030" s="8" t="s">
        <v>983</v>
      </c>
      <c r="H1030" s="8" t="s">
        <v>423</v>
      </c>
      <c r="I1030" s="68">
        <f>395726.03+57992.21</f>
        <v>453718.24000000005</v>
      </c>
      <c r="J1030" s="67">
        <f t="shared" si="28"/>
        <v>604957.6533333334</v>
      </c>
    </row>
    <row r="1031" spans="1:10" ht="22.5">
      <c r="A1031" s="3" t="s">
        <v>807</v>
      </c>
      <c r="B1031" s="66">
        <v>2</v>
      </c>
      <c r="C1031" s="8">
        <v>2</v>
      </c>
      <c r="D1031" s="3" t="s">
        <v>378</v>
      </c>
      <c r="E1031" s="3" t="s">
        <v>426</v>
      </c>
      <c r="F1031" s="3" t="s">
        <v>428</v>
      </c>
      <c r="G1031" s="8" t="s">
        <v>983</v>
      </c>
      <c r="H1031" s="8" t="s">
        <v>423</v>
      </c>
      <c r="I1031" s="68">
        <f>297375+145202.44</f>
        <v>442577.44</v>
      </c>
      <c r="J1031" s="67">
        <f t="shared" si="28"/>
        <v>590103.2533333333</v>
      </c>
    </row>
    <row r="1032" spans="1:10" ht="22.5">
      <c r="A1032" s="3" t="s">
        <v>807</v>
      </c>
      <c r="B1032" s="66">
        <v>2</v>
      </c>
      <c r="C1032" s="8">
        <v>2</v>
      </c>
      <c r="D1032" s="3" t="s">
        <v>378</v>
      </c>
      <c r="E1032" s="3" t="s">
        <v>426</v>
      </c>
      <c r="F1032" s="3" t="s">
        <v>429</v>
      </c>
      <c r="G1032" s="8" t="s">
        <v>983</v>
      </c>
      <c r="H1032" s="8" t="s">
        <v>423</v>
      </c>
      <c r="I1032" s="68">
        <f>214056.75+54004.88</f>
        <v>268061.63</v>
      </c>
      <c r="J1032" s="67">
        <f t="shared" si="28"/>
        <v>357415.50666666665</v>
      </c>
    </row>
    <row r="1033" spans="1:10" ht="22.5">
      <c r="A1033" s="24" t="s">
        <v>807</v>
      </c>
      <c r="B1033" s="6">
        <v>2</v>
      </c>
      <c r="C1033" s="6">
        <v>2</v>
      </c>
      <c r="D1033" s="7" t="s">
        <v>378</v>
      </c>
      <c r="E1033" s="24" t="s">
        <v>426</v>
      </c>
      <c r="F1033" s="24"/>
      <c r="G1033" s="6"/>
      <c r="H1033" s="6"/>
      <c r="I1033" s="13">
        <f>SUBTOTAL(9,I1025:I1032)</f>
        <v>3052701.19</v>
      </c>
      <c r="J1033" s="13">
        <f>SUBTOTAL(9,J1025:J1032)</f>
        <v>4070268.2533333334</v>
      </c>
    </row>
    <row r="1034" spans="1:10" ht="22.5">
      <c r="A1034" s="3" t="s">
        <v>807</v>
      </c>
      <c r="B1034" s="66">
        <v>2</v>
      </c>
      <c r="C1034" s="8">
        <v>4</v>
      </c>
      <c r="D1034" s="3" t="s">
        <v>380</v>
      </c>
      <c r="E1034" s="3" t="s">
        <v>381</v>
      </c>
      <c r="F1034" s="4" t="s">
        <v>734</v>
      </c>
      <c r="G1034" s="8" t="s">
        <v>983</v>
      </c>
      <c r="H1034" s="8" t="s">
        <v>330</v>
      </c>
      <c r="I1034" s="67">
        <v>150000</v>
      </c>
      <c r="J1034" s="67">
        <f>I1034/0.75</f>
        <v>200000</v>
      </c>
    </row>
    <row r="1035" spans="1:10" ht="22.5">
      <c r="A1035" s="3" t="s">
        <v>807</v>
      </c>
      <c r="B1035" s="66">
        <v>2</v>
      </c>
      <c r="C1035" s="8">
        <v>4</v>
      </c>
      <c r="D1035" s="3" t="s">
        <v>380</v>
      </c>
      <c r="E1035" s="3" t="s">
        <v>381</v>
      </c>
      <c r="F1035" s="3" t="s">
        <v>636</v>
      </c>
      <c r="G1035" s="8" t="s">
        <v>984</v>
      </c>
      <c r="H1035" s="8" t="s">
        <v>423</v>
      </c>
      <c r="I1035" s="67">
        <v>50000</v>
      </c>
      <c r="J1035" s="67">
        <f>I1035/0.75</f>
        <v>66666.66666666667</v>
      </c>
    </row>
    <row r="1036" spans="1:10" ht="22.5">
      <c r="A1036" s="3" t="s">
        <v>807</v>
      </c>
      <c r="B1036" s="66">
        <v>2</v>
      </c>
      <c r="C1036" s="8">
        <v>4</v>
      </c>
      <c r="D1036" s="3" t="s">
        <v>380</v>
      </c>
      <c r="E1036" s="3" t="s">
        <v>381</v>
      </c>
      <c r="F1036" s="3" t="s">
        <v>794</v>
      </c>
      <c r="G1036" s="8" t="s">
        <v>984</v>
      </c>
      <c r="H1036" s="8" t="s">
        <v>423</v>
      </c>
      <c r="I1036" s="67">
        <v>50000</v>
      </c>
      <c r="J1036" s="67">
        <f>I1036/0.75</f>
        <v>66666.66666666667</v>
      </c>
    </row>
    <row r="1037" spans="1:10" ht="22.5">
      <c r="A1037" s="24" t="s">
        <v>807</v>
      </c>
      <c r="B1037" s="6">
        <v>2</v>
      </c>
      <c r="C1037" s="6">
        <v>4</v>
      </c>
      <c r="D1037" s="7" t="s">
        <v>380</v>
      </c>
      <c r="E1037" s="24" t="s">
        <v>381</v>
      </c>
      <c r="F1037" s="24"/>
      <c r="G1037" s="6"/>
      <c r="H1037" s="6"/>
      <c r="I1037" s="13">
        <f>SUBTOTAL(9,I1034:I1036)</f>
        <v>250000</v>
      </c>
      <c r="J1037" s="13">
        <f>SUBTOTAL(9,J1034:J1036)</f>
        <v>333333.3333333334</v>
      </c>
    </row>
    <row r="1038" spans="1:10" ht="22.5">
      <c r="A1038" s="3" t="s">
        <v>807</v>
      </c>
      <c r="B1038" s="66">
        <v>2</v>
      </c>
      <c r="C1038" s="8">
        <v>1</v>
      </c>
      <c r="D1038" s="3" t="s">
        <v>382</v>
      </c>
      <c r="E1038" s="3" t="s">
        <v>383</v>
      </c>
      <c r="F1038" s="3" t="s">
        <v>384</v>
      </c>
      <c r="G1038" s="8" t="s">
        <v>983</v>
      </c>
      <c r="H1038" s="8" t="s">
        <v>423</v>
      </c>
      <c r="I1038" s="67">
        <v>45717.72</v>
      </c>
      <c r="J1038" s="67">
        <f>I1038/0.75</f>
        <v>60956.96</v>
      </c>
    </row>
    <row r="1039" spans="1:10" ht="22.5">
      <c r="A1039" s="3" t="s">
        <v>807</v>
      </c>
      <c r="B1039" s="66">
        <v>2</v>
      </c>
      <c r="C1039" s="8">
        <v>1</v>
      </c>
      <c r="D1039" s="3" t="s">
        <v>382</v>
      </c>
      <c r="E1039" s="3" t="s">
        <v>383</v>
      </c>
      <c r="F1039" s="4" t="s">
        <v>734</v>
      </c>
      <c r="G1039" s="8" t="s">
        <v>983</v>
      </c>
      <c r="H1039" s="8" t="s">
        <v>330</v>
      </c>
      <c r="I1039" s="67">
        <v>375768.45</v>
      </c>
      <c r="J1039" s="67">
        <f>I1039/0.75</f>
        <v>501024.60000000003</v>
      </c>
    </row>
    <row r="1040" spans="1:10" ht="22.5">
      <c r="A1040" s="3" t="s">
        <v>807</v>
      </c>
      <c r="B1040" s="66">
        <v>2</v>
      </c>
      <c r="C1040" s="8">
        <v>1</v>
      </c>
      <c r="D1040" s="3" t="s">
        <v>382</v>
      </c>
      <c r="E1040" s="3" t="s">
        <v>383</v>
      </c>
      <c r="F1040" s="3" t="s">
        <v>282</v>
      </c>
      <c r="G1040" s="8" t="s">
        <v>984</v>
      </c>
      <c r="H1040" s="8" t="s">
        <v>423</v>
      </c>
      <c r="I1040" s="67">
        <v>45000</v>
      </c>
      <c r="J1040" s="67">
        <f>I1040/0.75</f>
        <v>60000</v>
      </c>
    </row>
    <row r="1041" spans="1:10" ht="22.5">
      <c r="A1041" s="3" t="s">
        <v>807</v>
      </c>
      <c r="B1041" s="66">
        <v>2</v>
      </c>
      <c r="C1041" s="8">
        <v>1</v>
      </c>
      <c r="D1041" s="3" t="s">
        <v>382</v>
      </c>
      <c r="E1041" s="3" t="s">
        <v>383</v>
      </c>
      <c r="F1041" s="3" t="s">
        <v>410</v>
      </c>
      <c r="G1041" s="8" t="s">
        <v>984</v>
      </c>
      <c r="H1041" s="8" t="s">
        <v>423</v>
      </c>
      <c r="I1041" s="67">
        <v>28763.4</v>
      </c>
      <c r="J1041" s="67">
        <f>I1041/0.75</f>
        <v>38351.200000000004</v>
      </c>
    </row>
    <row r="1042" spans="1:10" ht="22.5">
      <c r="A1042" s="24" t="s">
        <v>807</v>
      </c>
      <c r="B1042" s="6">
        <v>2</v>
      </c>
      <c r="C1042" s="6">
        <v>1</v>
      </c>
      <c r="D1042" s="7" t="s">
        <v>382</v>
      </c>
      <c r="E1042" s="24" t="s">
        <v>383</v>
      </c>
      <c r="F1042" s="24"/>
      <c r="G1042" s="6"/>
      <c r="H1042" s="6"/>
      <c r="I1042" s="13">
        <f>SUBTOTAL(9,I1038:I1041)</f>
        <v>495249.57000000007</v>
      </c>
      <c r="J1042" s="13">
        <f>SUBTOTAL(9,J1038:J1041)</f>
        <v>660332.76</v>
      </c>
    </row>
    <row r="1043" spans="1:10" ht="45">
      <c r="A1043" s="3" t="s">
        <v>807</v>
      </c>
      <c r="B1043" s="66">
        <v>2</v>
      </c>
      <c r="C1043" s="8">
        <v>4</v>
      </c>
      <c r="D1043" s="3" t="s">
        <v>385</v>
      </c>
      <c r="E1043" s="3" t="s">
        <v>866</v>
      </c>
      <c r="F1043" s="3" t="s">
        <v>248</v>
      </c>
      <c r="G1043" s="8" t="s">
        <v>983</v>
      </c>
      <c r="H1043" s="8" t="s">
        <v>423</v>
      </c>
      <c r="I1043" s="67">
        <v>88462.5</v>
      </c>
      <c r="J1043" s="67">
        <f>I1043/0.75</f>
        <v>117950</v>
      </c>
    </row>
    <row r="1044" spans="1:10" ht="45">
      <c r="A1044" s="3" t="s">
        <v>807</v>
      </c>
      <c r="B1044" s="66">
        <v>2</v>
      </c>
      <c r="C1044" s="8">
        <v>4</v>
      </c>
      <c r="D1044" s="3" t="s">
        <v>385</v>
      </c>
      <c r="E1044" s="3" t="s">
        <v>866</v>
      </c>
      <c r="F1044" s="3" t="s">
        <v>884</v>
      </c>
      <c r="G1044" s="8" t="s">
        <v>983</v>
      </c>
      <c r="H1044" s="8" t="s">
        <v>423</v>
      </c>
      <c r="I1044" s="67">
        <v>56400</v>
      </c>
      <c r="J1044" s="67">
        <f>I1044/0.75</f>
        <v>75200</v>
      </c>
    </row>
    <row r="1045" spans="1:10" ht="45">
      <c r="A1045" s="3" t="s">
        <v>807</v>
      </c>
      <c r="B1045" s="66">
        <v>2</v>
      </c>
      <c r="C1045" s="8">
        <v>4</v>
      </c>
      <c r="D1045" s="3" t="s">
        <v>385</v>
      </c>
      <c r="E1045" s="3" t="s">
        <v>866</v>
      </c>
      <c r="F1045" s="4" t="s">
        <v>386</v>
      </c>
      <c r="G1045" s="8" t="s">
        <v>983</v>
      </c>
      <c r="H1045" s="8" t="s">
        <v>330</v>
      </c>
      <c r="I1045" s="67">
        <v>325612.5</v>
      </c>
      <c r="J1045" s="67">
        <f>I1045/0.75</f>
        <v>434150</v>
      </c>
    </row>
    <row r="1046" spans="1:10" ht="45">
      <c r="A1046" s="3" t="s">
        <v>807</v>
      </c>
      <c r="B1046" s="66">
        <v>2</v>
      </c>
      <c r="C1046" s="8">
        <v>4</v>
      </c>
      <c r="D1046" s="3" t="s">
        <v>385</v>
      </c>
      <c r="E1046" s="3" t="s">
        <v>866</v>
      </c>
      <c r="F1046" s="3" t="s">
        <v>867</v>
      </c>
      <c r="G1046" s="8" t="s">
        <v>984</v>
      </c>
      <c r="H1046" s="8" t="s">
        <v>423</v>
      </c>
      <c r="I1046" s="68">
        <f>63750-63750</f>
        <v>0</v>
      </c>
      <c r="J1046" s="67">
        <f>I1046/0.75</f>
        <v>0</v>
      </c>
    </row>
    <row r="1047" spans="1:10" ht="45">
      <c r="A1047" s="24" t="s">
        <v>807</v>
      </c>
      <c r="B1047" s="6">
        <v>2</v>
      </c>
      <c r="C1047" s="6">
        <v>4</v>
      </c>
      <c r="D1047" s="7" t="s">
        <v>385</v>
      </c>
      <c r="E1047" s="24" t="s">
        <v>866</v>
      </c>
      <c r="F1047" s="24"/>
      <c r="G1047" s="6"/>
      <c r="H1047" s="6"/>
      <c r="I1047" s="13">
        <f>SUBTOTAL(9,I1043:I1046)</f>
        <v>470475</v>
      </c>
      <c r="J1047" s="13">
        <f>SUBTOTAL(9,J1043:J1046)</f>
        <v>627300</v>
      </c>
    </row>
    <row r="1048" spans="1:10" ht="33.75">
      <c r="A1048" s="3" t="s">
        <v>807</v>
      </c>
      <c r="B1048" s="66">
        <v>2</v>
      </c>
      <c r="C1048" s="8">
        <v>1</v>
      </c>
      <c r="D1048" s="3" t="s">
        <v>855</v>
      </c>
      <c r="E1048" s="3" t="s">
        <v>840</v>
      </c>
      <c r="F1048" s="3" t="s">
        <v>248</v>
      </c>
      <c r="G1048" s="8" t="s">
        <v>983</v>
      </c>
      <c r="H1048" s="8" t="s">
        <v>423</v>
      </c>
      <c r="I1048" s="67">
        <v>263838.17</v>
      </c>
      <c r="J1048" s="67">
        <f>I1048/0.75</f>
        <v>351784.2266666666</v>
      </c>
    </row>
    <row r="1049" spans="1:10" ht="45">
      <c r="A1049" s="3" t="s">
        <v>807</v>
      </c>
      <c r="B1049" s="66">
        <v>2</v>
      </c>
      <c r="C1049" s="8">
        <v>1</v>
      </c>
      <c r="D1049" s="3" t="s">
        <v>855</v>
      </c>
      <c r="E1049" s="3" t="s">
        <v>840</v>
      </c>
      <c r="F1049" s="4" t="s">
        <v>3</v>
      </c>
      <c r="G1049" s="8" t="s">
        <v>983</v>
      </c>
      <c r="H1049" s="8" t="s">
        <v>330</v>
      </c>
      <c r="I1049" s="67">
        <v>323734.1</v>
      </c>
      <c r="J1049" s="67">
        <f>I1049/0.75</f>
        <v>431645.4666666666</v>
      </c>
    </row>
    <row r="1050" spans="1:10" ht="33.75">
      <c r="A1050" s="3" t="s">
        <v>807</v>
      </c>
      <c r="B1050" s="66">
        <v>2</v>
      </c>
      <c r="C1050" s="8">
        <v>1</v>
      </c>
      <c r="D1050" s="3" t="s">
        <v>855</v>
      </c>
      <c r="E1050" s="3" t="s">
        <v>840</v>
      </c>
      <c r="F1050" s="3" t="s">
        <v>854</v>
      </c>
      <c r="G1050" s="8" t="s">
        <v>984</v>
      </c>
      <c r="H1050" s="8" t="s">
        <v>423</v>
      </c>
      <c r="I1050" s="67">
        <v>134423.9</v>
      </c>
      <c r="J1050" s="67">
        <f>I1050/0.75</f>
        <v>179231.86666666667</v>
      </c>
    </row>
    <row r="1051" spans="1:10" ht="33.75">
      <c r="A1051" s="24" t="s">
        <v>807</v>
      </c>
      <c r="B1051" s="6">
        <v>2</v>
      </c>
      <c r="C1051" s="6">
        <v>1</v>
      </c>
      <c r="D1051" s="7" t="s">
        <v>855</v>
      </c>
      <c r="E1051" s="24" t="s">
        <v>840</v>
      </c>
      <c r="F1051" s="24"/>
      <c r="G1051" s="6"/>
      <c r="H1051" s="6"/>
      <c r="I1051" s="13">
        <f>SUBTOTAL(9,I1048:I1050)</f>
        <v>721996.17</v>
      </c>
      <c r="J1051" s="13">
        <f>SUBTOTAL(9,J1048:J1050)</f>
        <v>962661.5599999999</v>
      </c>
    </row>
    <row r="1052" spans="1:10" ht="22.5">
      <c r="A1052" s="3" t="s">
        <v>807</v>
      </c>
      <c r="B1052" s="66">
        <v>2</v>
      </c>
      <c r="C1052" s="8">
        <v>2</v>
      </c>
      <c r="D1052" s="3" t="s">
        <v>443</v>
      </c>
      <c r="E1052" s="3" t="s">
        <v>733</v>
      </c>
      <c r="F1052" s="4" t="s">
        <v>734</v>
      </c>
      <c r="G1052" s="8" t="s">
        <v>983</v>
      </c>
      <c r="H1052" s="8" t="s">
        <v>330</v>
      </c>
      <c r="I1052" s="67">
        <v>308441.38</v>
      </c>
      <c r="J1052" s="67">
        <f>I1052/0.75</f>
        <v>411255.17333333334</v>
      </c>
    </row>
    <row r="1053" spans="1:10" ht="22.5">
      <c r="A1053" s="3" t="s">
        <v>807</v>
      </c>
      <c r="B1053" s="66">
        <v>2</v>
      </c>
      <c r="C1053" s="8">
        <v>2</v>
      </c>
      <c r="D1053" s="3" t="s">
        <v>443</v>
      </c>
      <c r="E1053" s="3" t="s">
        <v>733</v>
      </c>
      <c r="F1053" s="3" t="s">
        <v>304</v>
      </c>
      <c r="G1053" s="8" t="s">
        <v>984</v>
      </c>
      <c r="H1053" s="8" t="s">
        <v>423</v>
      </c>
      <c r="I1053" s="67">
        <v>56250</v>
      </c>
      <c r="J1053" s="67">
        <f>I1053/0.75</f>
        <v>75000</v>
      </c>
    </row>
    <row r="1054" spans="1:10" ht="22.5">
      <c r="A1054" s="24" t="s">
        <v>807</v>
      </c>
      <c r="B1054" s="6">
        <v>2</v>
      </c>
      <c r="C1054" s="6">
        <v>2</v>
      </c>
      <c r="D1054" s="7" t="s">
        <v>443</v>
      </c>
      <c r="E1054" s="24" t="s">
        <v>733</v>
      </c>
      <c r="F1054" s="24"/>
      <c r="G1054" s="6"/>
      <c r="H1054" s="6"/>
      <c r="I1054" s="13">
        <f>SUBTOTAL(9,I1052:I1053)</f>
        <v>364691.38</v>
      </c>
      <c r="J1054" s="13">
        <f>SUBTOTAL(9,J1052:J1053)</f>
        <v>486255.17333333334</v>
      </c>
    </row>
    <row r="1055" spans="1:10" ht="33.75">
      <c r="A1055" s="3" t="s">
        <v>564</v>
      </c>
      <c r="B1055" s="66">
        <v>2</v>
      </c>
      <c r="C1055" s="8">
        <v>3</v>
      </c>
      <c r="D1055" s="3" t="s">
        <v>288</v>
      </c>
      <c r="E1055" s="3" t="s">
        <v>289</v>
      </c>
      <c r="F1055" s="3" t="s">
        <v>290</v>
      </c>
      <c r="G1055" s="8" t="s">
        <v>983</v>
      </c>
      <c r="H1055" s="8" t="s">
        <v>423</v>
      </c>
      <c r="I1055" s="68">
        <f>900000+990563.27</f>
        <v>1890563.27</v>
      </c>
      <c r="J1055" s="67">
        <f>I1055/0.75</f>
        <v>2520751.026666667</v>
      </c>
    </row>
    <row r="1056" spans="1:10" ht="33.75">
      <c r="A1056" s="3" t="s">
        <v>564</v>
      </c>
      <c r="B1056" s="66">
        <v>2</v>
      </c>
      <c r="C1056" s="8">
        <v>3</v>
      </c>
      <c r="D1056" s="3" t="s">
        <v>288</v>
      </c>
      <c r="E1056" s="3" t="s">
        <v>289</v>
      </c>
      <c r="F1056" s="4" t="s">
        <v>638</v>
      </c>
      <c r="G1056" s="8" t="s">
        <v>984</v>
      </c>
      <c r="H1056" s="8" t="s">
        <v>330</v>
      </c>
      <c r="I1056" s="67">
        <v>450000</v>
      </c>
      <c r="J1056" s="67">
        <f>I1056/0.75</f>
        <v>600000</v>
      </c>
    </row>
    <row r="1057" spans="1:10" ht="33.75">
      <c r="A1057" s="24" t="s">
        <v>564</v>
      </c>
      <c r="B1057" s="6">
        <v>2</v>
      </c>
      <c r="C1057" s="6">
        <v>3</v>
      </c>
      <c r="D1057" s="7" t="s">
        <v>288</v>
      </c>
      <c r="E1057" s="24" t="s">
        <v>289</v>
      </c>
      <c r="F1057" s="24"/>
      <c r="G1057" s="6"/>
      <c r="H1057" s="6"/>
      <c r="I1057" s="13">
        <f>SUBTOTAL(9,I1055:I1056)</f>
        <v>2340563.27</v>
      </c>
      <c r="J1057" s="13">
        <f>SUBTOTAL(9,J1055:J1056)</f>
        <v>3120751.026666667</v>
      </c>
    </row>
    <row r="1058" spans="1:10" ht="22.5">
      <c r="A1058" s="3" t="s">
        <v>807</v>
      </c>
      <c r="B1058" s="66">
        <v>2</v>
      </c>
      <c r="C1058" s="8">
        <v>2</v>
      </c>
      <c r="D1058" s="3" t="s">
        <v>863</v>
      </c>
      <c r="E1058" s="3" t="s">
        <v>864</v>
      </c>
      <c r="F1058" s="3" t="s">
        <v>575</v>
      </c>
      <c r="G1058" s="8" t="s">
        <v>983</v>
      </c>
      <c r="H1058" s="8" t="s">
        <v>423</v>
      </c>
      <c r="I1058" s="67">
        <v>90262.5</v>
      </c>
      <c r="J1058" s="67">
        <f>I1058/0.75</f>
        <v>120350</v>
      </c>
    </row>
    <row r="1059" spans="1:10" ht="22.5">
      <c r="A1059" s="3" t="s">
        <v>807</v>
      </c>
      <c r="B1059" s="66">
        <v>2</v>
      </c>
      <c r="C1059" s="8">
        <v>2</v>
      </c>
      <c r="D1059" s="3" t="s">
        <v>863</v>
      </c>
      <c r="E1059" s="3" t="s">
        <v>864</v>
      </c>
      <c r="F1059" s="4" t="s">
        <v>444</v>
      </c>
      <c r="G1059" s="8" t="s">
        <v>983</v>
      </c>
      <c r="H1059" s="8" t="s">
        <v>330</v>
      </c>
      <c r="I1059" s="67">
        <v>284737.5</v>
      </c>
      <c r="J1059" s="67">
        <f>I1059/0.75</f>
        <v>379650</v>
      </c>
    </row>
    <row r="1060" spans="1:10" ht="22.5">
      <c r="A1060" s="3" t="s">
        <v>807</v>
      </c>
      <c r="B1060" s="66">
        <v>2</v>
      </c>
      <c r="C1060" s="8">
        <v>2</v>
      </c>
      <c r="D1060" s="3" t="s">
        <v>863</v>
      </c>
      <c r="E1060" s="3" t="s">
        <v>864</v>
      </c>
      <c r="F1060" s="3" t="s">
        <v>636</v>
      </c>
      <c r="G1060" s="8" t="s">
        <v>984</v>
      </c>
      <c r="H1060" s="8" t="s">
        <v>423</v>
      </c>
      <c r="I1060" s="67">
        <v>60000</v>
      </c>
      <c r="J1060" s="67">
        <f>I1060/0.75</f>
        <v>80000</v>
      </c>
    </row>
    <row r="1061" spans="1:10" ht="22.5">
      <c r="A1061" s="3" t="s">
        <v>807</v>
      </c>
      <c r="B1061" s="66">
        <v>2</v>
      </c>
      <c r="C1061" s="8">
        <v>2</v>
      </c>
      <c r="D1061" s="3" t="s">
        <v>863</v>
      </c>
      <c r="E1061" s="3" t="s">
        <v>864</v>
      </c>
      <c r="F1061" s="3" t="s">
        <v>536</v>
      </c>
      <c r="G1061" s="8" t="s">
        <v>984</v>
      </c>
      <c r="H1061" s="8" t="s">
        <v>423</v>
      </c>
      <c r="I1061" s="67">
        <v>70000</v>
      </c>
      <c r="J1061" s="67">
        <f>I1061/0.75</f>
        <v>93333.33333333333</v>
      </c>
    </row>
    <row r="1062" spans="1:10" ht="22.5">
      <c r="A1062" s="3" t="s">
        <v>807</v>
      </c>
      <c r="B1062" s="66">
        <v>2</v>
      </c>
      <c r="C1062" s="8">
        <v>2</v>
      </c>
      <c r="D1062" s="3" t="s">
        <v>863</v>
      </c>
      <c r="E1062" s="3" t="s">
        <v>864</v>
      </c>
      <c r="F1062" s="3" t="s">
        <v>865</v>
      </c>
      <c r="G1062" s="8" t="s">
        <v>984</v>
      </c>
      <c r="H1062" s="8" t="s">
        <v>423</v>
      </c>
      <c r="I1062" s="67">
        <v>141500</v>
      </c>
      <c r="J1062" s="67">
        <f>I1062/0.75</f>
        <v>188666.66666666666</v>
      </c>
    </row>
    <row r="1063" spans="1:10" ht="22.5">
      <c r="A1063" s="24" t="s">
        <v>807</v>
      </c>
      <c r="B1063" s="6">
        <v>2</v>
      </c>
      <c r="C1063" s="6">
        <v>2</v>
      </c>
      <c r="D1063" s="7" t="s">
        <v>863</v>
      </c>
      <c r="E1063" s="24" t="s">
        <v>864</v>
      </c>
      <c r="F1063" s="24"/>
      <c r="G1063" s="6"/>
      <c r="H1063" s="6"/>
      <c r="I1063" s="13">
        <f>SUBTOTAL(9,I1058:I1062)</f>
        <v>646500</v>
      </c>
      <c r="J1063" s="13">
        <f>SUBTOTAL(9,J1058:J1062)</f>
        <v>862000</v>
      </c>
    </row>
    <row r="1064" spans="1:10" ht="33.75">
      <c r="A1064" s="3" t="s">
        <v>807</v>
      </c>
      <c r="B1064" s="66">
        <v>2</v>
      </c>
      <c r="C1064" s="8">
        <v>2</v>
      </c>
      <c r="D1064" s="3" t="s">
        <v>620</v>
      </c>
      <c r="E1064" s="3" t="s">
        <v>664</v>
      </c>
      <c r="F1064" s="3" t="s">
        <v>771</v>
      </c>
      <c r="G1064" s="8" t="s">
        <v>983</v>
      </c>
      <c r="H1064" s="8" t="s">
        <v>423</v>
      </c>
      <c r="I1064" s="67">
        <v>0</v>
      </c>
      <c r="J1064" s="67">
        <f aca="true" t="shared" si="29" ref="J1064:J1075">I1064/0.75</f>
        <v>0</v>
      </c>
    </row>
    <row r="1065" spans="1:10" ht="33.75">
      <c r="A1065" s="3" t="s">
        <v>807</v>
      </c>
      <c r="B1065" s="66">
        <v>2</v>
      </c>
      <c r="C1065" s="8">
        <v>2</v>
      </c>
      <c r="D1065" s="3" t="s">
        <v>620</v>
      </c>
      <c r="E1065" s="3" t="s">
        <v>664</v>
      </c>
      <c r="F1065" s="3" t="s">
        <v>543</v>
      </c>
      <c r="G1065" s="8" t="s">
        <v>984</v>
      </c>
      <c r="H1065" s="8" t="s">
        <v>423</v>
      </c>
      <c r="I1065" s="68">
        <v>100000</v>
      </c>
      <c r="J1065" s="67">
        <f t="shared" si="29"/>
        <v>133333.33333333334</v>
      </c>
    </row>
    <row r="1066" spans="1:10" ht="33.75">
      <c r="A1066" s="3" t="s">
        <v>807</v>
      </c>
      <c r="B1066" s="66">
        <v>2</v>
      </c>
      <c r="C1066" s="8">
        <v>2</v>
      </c>
      <c r="D1066" s="3" t="s">
        <v>620</v>
      </c>
      <c r="E1066" s="3" t="s">
        <v>664</v>
      </c>
      <c r="F1066" s="3" t="s">
        <v>886</v>
      </c>
      <c r="G1066" s="8" t="s">
        <v>984</v>
      </c>
      <c r="H1066" s="8" t="s">
        <v>423</v>
      </c>
      <c r="I1066" s="68">
        <v>75000</v>
      </c>
      <c r="J1066" s="67">
        <f t="shared" si="29"/>
        <v>100000</v>
      </c>
    </row>
    <row r="1067" spans="1:10" ht="33.75">
      <c r="A1067" s="3" t="s">
        <v>807</v>
      </c>
      <c r="B1067" s="66">
        <v>2</v>
      </c>
      <c r="C1067" s="8">
        <v>2</v>
      </c>
      <c r="D1067" s="3" t="s">
        <v>620</v>
      </c>
      <c r="E1067" s="3" t="s">
        <v>664</v>
      </c>
      <c r="F1067" s="3" t="s">
        <v>621</v>
      </c>
      <c r="G1067" s="8" t="s">
        <v>983</v>
      </c>
      <c r="H1067" s="8" t="s">
        <v>423</v>
      </c>
      <c r="I1067" s="67">
        <v>0</v>
      </c>
      <c r="J1067" s="67">
        <f t="shared" si="29"/>
        <v>0</v>
      </c>
    </row>
    <row r="1068" spans="1:10" ht="33.75">
      <c r="A1068" s="3" t="s">
        <v>807</v>
      </c>
      <c r="B1068" s="66">
        <v>2</v>
      </c>
      <c r="C1068" s="8">
        <v>2</v>
      </c>
      <c r="D1068" s="3" t="s">
        <v>620</v>
      </c>
      <c r="E1068" s="3" t="s">
        <v>664</v>
      </c>
      <c r="F1068" s="3" t="s">
        <v>575</v>
      </c>
      <c r="G1068" s="8" t="s">
        <v>983</v>
      </c>
      <c r="H1068" s="8" t="s">
        <v>423</v>
      </c>
      <c r="I1068" s="68">
        <v>89717.93</v>
      </c>
      <c r="J1068" s="67">
        <f t="shared" si="29"/>
        <v>119623.90666666666</v>
      </c>
    </row>
    <row r="1069" spans="1:10" ht="33.75">
      <c r="A1069" s="3" t="s">
        <v>807</v>
      </c>
      <c r="B1069" s="66">
        <v>2</v>
      </c>
      <c r="C1069" s="8">
        <v>2</v>
      </c>
      <c r="D1069" s="3" t="s">
        <v>620</v>
      </c>
      <c r="E1069" s="3" t="s">
        <v>664</v>
      </c>
      <c r="F1069" s="3" t="s">
        <v>508</v>
      </c>
      <c r="G1069" s="8" t="s">
        <v>984</v>
      </c>
      <c r="H1069" s="8" t="s">
        <v>423</v>
      </c>
      <c r="I1069" s="67">
        <v>0</v>
      </c>
      <c r="J1069" s="67">
        <f t="shared" si="29"/>
        <v>0</v>
      </c>
    </row>
    <row r="1070" spans="1:10" ht="33.75">
      <c r="A1070" s="3" t="s">
        <v>807</v>
      </c>
      <c r="B1070" s="66">
        <v>2</v>
      </c>
      <c r="C1070" s="8">
        <v>2</v>
      </c>
      <c r="D1070" s="3" t="s">
        <v>620</v>
      </c>
      <c r="E1070" s="3" t="s">
        <v>664</v>
      </c>
      <c r="F1070" s="3" t="s">
        <v>304</v>
      </c>
      <c r="G1070" s="8" t="s">
        <v>984</v>
      </c>
      <c r="H1070" s="8" t="s">
        <v>423</v>
      </c>
      <c r="I1070" s="67">
        <v>20000</v>
      </c>
      <c r="J1070" s="67">
        <f t="shared" si="29"/>
        <v>26666.666666666668</v>
      </c>
    </row>
    <row r="1071" spans="1:10" ht="33.75">
      <c r="A1071" s="3" t="s">
        <v>807</v>
      </c>
      <c r="B1071" s="66">
        <v>2</v>
      </c>
      <c r="C1071" s="8">
        <v>2</v>
      </c>
      <c r="D1071" s="3" t="s">
        <v>620</v>
      </c>
      <c r="E1071" s="3" t="s">
        <v>664</v>
      </c>
      <c r="F1071" s="3" t="s">
        <v>622</v>
      </c>
      <c r="G1071" s="8" t="s">
        <v>984</v>
      </c>
      <c r="H1071" s="8" t="s">
        <v>423</v>
      </c>
      <c r="I1071" s="67">
        <v>19997</v>
      </c>
      <c r="J1071" s="67">
        <f t="shared" si="29"/>
        <v>26662.666666666668</v>
      </c>
    </row>
    <row r="1072" spans="1:10" ht="33.75">
      <c r="A1072" s="3" t="s">
        <v>807</v>
      </c>
      <c r="B1072" s="66">
        <v>2</v>
      </c>
      <c r="C1072" s="8">
        <v>2</v>
      </c>
      <c r="D1072" s="3" t="s">
        <v>620</v>
      </c>
      <c r="E1072" s="3" t="s">
        <v>664</v>
      </c>
      <c r="F1072" s="3" t="s">
        <v>1006</v>
      </c>
      <c r="G1072" s="8" t="s">
        <v>983</v>
      </c>
      <c r="H1072" s="8" t="s">
        <v>423</v>
      </c>
      <c r="I1072" s="68">
        <v>177525</v>
      </c>
      <c r="J1072" s="67">
        <f t="shared" si="29"/>
        <v>236700</v>
      </c>
    </row>
    <row r="1073" spans="1:10" ht="33.75">
      <c r="A1073" s="3" t="s">
        <v>807</v>
      </c>
      <c r="B1073" s="66">
        <v>2</v>
      </c>
      <c r="C1073" s="8">
        <v>2</v>
      </c>
      <c r="D1073" s="3" t="s">
        <v>620</v>
      </c>
      <c r="E1073" s="3" t="s">
        <v>664</v>
      </c>
      <c r="F1073" s="3" t="s">
        <v>623</v>
      </c>
      <c r="G1073" s="8" t="s">
        <v>983</v>
      </c>
      <c r="H1073" s="8" t="s">
        <v>423</v>
      </c>
      <c r="I1073" s="67">
        <v>0</v>
      </c>
      <c r="J1073" s="67">
        <f t="shared" si="29"/>
        <v>0</v>
      </c>
    </row>
    <row r="1074" spans="1:10" ht="33.75">
      <c r="A1074" s="3" t="s">
        <v>807</v>
      </c>
      <c r="B1074" s="66">
        <v>2</v>
      </c>
      <c r="C1074" s="8">
        <v>2</v>
      </c>
      <c r="D1074" s="3" t="s">
        <v>620</v>
      </c>
      <c r="E1074" s="3" t="s">
        <v>664</v>
      </c>
      <c r="F1074" s="4" t="s">
        <v>287</v>
      </c>
      <c r="G1074" s="8" t="s">
        <v>983</v>
      </c>
      <c r="H1074" s="8" t="s">
        <v>330</v>
      </c>
      <c r="I1074" s="68">
        <v>192105.56</v>
      </c>
      <c r="J1074" s="67">
        <f t="shared" si="29"/>
        <v>256140.74666666667</v>
      </c>
    </row>
    <row r="1075" spans="1:10" ht="33.75">
      <c r="A1075" s="3" t="s">
        <v>807</v>
      </c>
      <c r="B1075" s="66">
        <v>2</v>
      </c>
      <c r="C1075" s="8">
        <v>2</v>
      </c>
      <c r="D1075" s="3" t="s">
        <v>620</v>
      </c>
      <c r="E1075" s="3" t="s">
        <v>664</v>
      </c>
      <c r="F1075" s="3" t="s">
        <v>647</v>
      </c>
      <c r="G1075" s="8" t="s">
        <v>984</v>
      </c>
      <c r="H1075" s="8" t="s">
        <v>423</v>
      </c>
      <c r="I1075" s="67">
        <v>99999.75</v>
      </c>
      <c r="J1075" s="67">
        <f t="shared" si="29"/>
        <v>133333</v>
      </c>
    </row>
    <row r="1076" spans="1:10" ht="33.75">
      <c r="A1076" s="24" t="s">
        <v>807</v>
      </c>
      <c r="B1076" s="6">
        <v>2</v>
      </c>
      <c r="C1076" s="6">
        <v>2</v>
      </c>
      <c r="D1076" s="7" t="s">
        <v>620</v>
      </c>
      <c r="E1076" s="24" t="s">
        <v>664</v>
      </c>
      <c r="F1076" s="24"/>
      <c r="G1076" s="6"/>
      <c r="H1076" s="6"/>
      <c r="I1076" s="13">
        <f>SUBTOTAL(9,I1064:I1075)</f>
        <v>774345.24</v>
      </c>
      <c r="J1076" s="13">
        <f>SUBTOTAL(9,J1064:J1075)</f>
        <v>1032460.3200000001</v>
      </c>
    </row>
    <row r="1077" spans="1:10" ht="33.75">
      <c r="A1077" s="3" t="s">
        <v>563</v>
      </c>
      <c r="B1077" s="66">
        <v>2</v>
      </c>
      <c r="C1077" s="8">
        <v>2</v>
      </c>
      <c r="D1077" s="3" t="s">
        <v>624</v>
      </c>
      <c r="E1077" s="3" t="s">
        <v>409</v>
      </c>
      <c r="F1077" s="3" t="s">
        <v>452</v>
      </c>
      <c r="G1077" s="8" t="s">
        <v>983</v>
      </c>
      <c r="H1077" s="8" t="s">
        <v>423</v>
      </c>
      <c r="I1077" s="67">
        <v>990000</v>
      </c>
      <c r="J1077" s="67">
        <f aca="true" t="shared" si="30" ref="J1077:J1097">I1077/0.75</f>
        <v>1320000</v>
      </c>
    </row>
    <row r="1078" spans="1:10" ht="45">
      <c r="A1078" s="3" t="s">
        <v>563</v>
      </c>
      <c r="B1078" s="66">
        <v>2</v>
      </c>
      <c r="C1078" s="8">
        <v>2</v>
      </c>
      <c r="D1078" s="3" t="s">
        <v>624</v>
      </c>
      <c r="E1078" s="3" t="s">
        <v>409</v>
      </c>
      <c r="F1078" s="3" t="s">
        <v>831</v>
      </c>
      <c r="G1078" s="8" t="s">
        <v>983</v>
      </c>
      <c r="H1078" s="8" t="s">
        <v>423</v>
      </c>
      <c r="I1078" s="67">
        <v>333750</v>
      </c>
      <c r="J1078" s="67">
        <f t="shared" si="30"/>
        <v>445000</v>
      </c>
    </row>
    <row r="1079" spans="1:10" ht="45">
      <c r="A1079" s="3" t="s">
        <v>563</v>
      </c>
      <c r="B1079" s="66">
        <v>2</v>
      </c>
      <c r="C1079" s="8">
        <v>2</v>
      </c>
      <c r="D1079" s="3" t="s">
        <v>624</v>
      </c>
      <c r="E1079" s="3" t="s">
        <v>409</v>
      </c>
      <c r="F1079" s="4" t="s">
        <v>830</v>
      </c>
      <c r="G1079" s="8" t="s">
        <v>983</v>
      </c>
      <c r="H1079" s="8" t="s">
        <v>423</v>
      </c>
      <c r="I1079" s="67">
        <v>468750</v>
      </c>
      <c r="J1079" s="67">
        <f t="shared" si="30"/>
        <v>625000</v>
      </c>
    </row>
    <row r="1080" spans="1:10" ht="33.75">
      <c r="A1080" s="3" t="s">
        <v>563</v>
      </c>
      <c r="B1080" s="66">
        <v>2</v>
      </c>
      <c r="C1080" s="8">
        <v>2</v>
      </c>
      <c r="D1080" s="3" t="s">
        <v>624</v>
      </c>
      <c r="E1080" s="3" t="s">
        <v>409</v>
      </c>
      <c r="F1080" s="3" t="s">
        <v>829</v>
      </c>
      <c r="G1080" s="8" t="s">
        <v>983</v>
      </c>
      <c r="H1080" s="8" t="s">
        <v>423</v>
      </c>
      <c r="I1080" s="67">
        <v>300000</v>
      </c>
      <c r="J1080" s="67">
        <f t="shared" si="30"/>
        <v>400000</v>
      </c>
    </row>
    <row r="1081" spans="1:10" ht="45">
      <c r="A1081" s="3" t="s">
        <v>563</v>
      </c>
      <c r="B1081" s="66">
        <v>2</v>
      </c>
      <c r="C1081" s="8">
        <v>2</v>
      </c>
      <c r="D1081" s="3" t="s">
        <v>624</v>
      </c>
      <c r="E1081" s="3" t="s">
        <v>409</v>
      </c>
      <c r="F1081" s="3" t="s">
        <v>875</v>
      </c>
      <c r="G1081" s="8" t="s">
        <v>983</v>
      </c>
      <c r="H1081" s="8" t="s">
        <v>423</v>
      </c>
      <c r="I1081" s="67">
        <v>300000</v>
      </c>
      <c r="J1081" s="67">
        <f t="shared" si="30"/>
        <v>400000</v>
      </c>
    </row>
    <row r="1082" spans="1:10" ht="33.75">
      <c r="A1082" s="3" t="s">
        <v>563</v>
      </c>
      <c r="B1082" s="66">
        <v>2</v>
      </c>
      <c r="C1082" s="8">
        <v>2</v>
      </c>
      <c r="D1082" s="3" t="s">
        <v>624</v>
      </c>
      <c r="E1082" s="3" t="s">
        <v>409</v>
      </c>
      <c r="F1082" s="3" t="s">
        <v>607</v>
      </c>
      <c r="G1082" s="8" t="s">
        <v>983</v>
      </c>
      <c r="H1082" s="8" t="s">
        <v>423</v>
      </c>
      <c r="I1082" s="67">
        <f>612000-43106.25</f>
        <v>568893.75</v>
      </c>
      <c r="J1082" s="68">
        <f t="shared" si="30"/>
        <v>758525</v>
      </c>
    </row>
    <row r="1083" spans="1:10" ht="33.75">
      <c r="A1083" s="3" t="s">
        <v>563</v>
      </c>
      <c r="B1083" s="66">
        <v>2</v>
      </c>
      <c r="C1083" s="8">
        <v>2</v>
      </c>
      <c r="D1083" s="3" t="s">
        <v>624</v>
      </c>
      <c r="E1083" s="3" t="s">
        <v>409</v>
      </c>
      <c r="F1083" s="3" t="s">
        <v>587</v>
      </c>
      <c r="G1083" s="8" t="s">
        <v>983</v>
      </c>
      <c r="H1083" s="8" t="s">
        <v>423</v>
      </c>
      <c r="I1083" s="67">
        <v>285470.82</v>
      </c>
      <c r="J1083" s="68">
        <f t="shared" si="30"/>
        <v>380627.76</v>
      </c>
    </row>
    <row r="1084" spans="1:10" ht="33.75">
      <c r="A1084" s="3" t="s">
        <v>563</v>
      </c>
      <c r="B1084" s="66">
        <v>2</v>
      </c>
      <c r="C1084" s="8">
        <v>2</v>
      </c>
      <c r="D1084" s="3" t="s">
        <v>624</v>
      </c>
      <c r="E1084" s="3" t="s">
        <v>409</v>
      </c>
      <c r="F1084" s="3" t="s">
        <v>453</v>
      </c>
      <c r="G1084" s="8" t="s">
        <v>983</v>
      </c>
      <c r="H1084" s="8" t="s">
        <v>423</v>
      </c>
      <c r="I1084" s="67">
        <v>83940</v>
      </c>
      <c r="J1084" s="68">
        <f t="shared" si="30"/>
        <v>111920</v>
      </c>
    </row>
    <row r="1085" spans="1:10" ht="33.75">
      <c r="A1085" s="3" t="s">
        <v>563</v>
      </c>
      <c r="B1085" s="66">
        <v>2</v>
      </c>
      <c r="C1085" s="8">
        <v>2</v>
      </c>
      <c r="D1085" s="3" t="s">
        <v>624</v>
      </c>
      <c r="E1085" s="3" t="s">
        <v>409</v>
      </c>
      <c r="F1085" s="3" t="s">
        <v>454</v>
      </c>
      <c r="G1085" s="8" t="s">
        <v>983</v>
      </c>
      <c r="H1085" s="8" t="s">
        <v>423</v>
      </c>
      <c r="I1085" s="67">
        <v>120000</v>
      </c>
      <c r="J1085" s="68">
        <f t="shared" si="30"/>
        <v>160000</v>
      </c>
    </row>
    <row r="1086" spans="1:10" ht="33.75">
      <c r="A1086" s="3" t="s">
        <v>563</v>
      </c>
      <c r="B1086" s="66">
        <v>2</v>
      </c>
      <c r="C1086" s="8">
        <v>2</v>
      </c>
      <c r="D1086" s="3" t="s">
        <v>624</v>
      </c>
      <c r="E1086" s="3" t="s">
        <v>409</v>
      </c>
      <c r="F1086" s="3" t="s">
        <v>455</v>
      </c>
      <c r="G1086" s="8" t="s">
        <v>984</v>
      </c>
      <c r="H1086" s="8" t="s">
        <v>423</v>
      </c>
      <c r="I1086" s="67">
        <v>18750</v>
      </c>
      <c r="J1086" s="68">
        <f t="shared" si="30"/>
        <v>25000</v>
      </c>
    </row>
    <row r="1087" spans="1:10" ht="33.75">
      <c r="A1087" s="3" t="s">
        <v>563</v>
      </c>
      <c r="B1087" s="66">
        <v>2</v>
      </c>
      <c r="C1087" s="8">
        <v>2</v>
      </c>
      <c r="D1087" s="3" t="s">
        <v>624</v>
      </c>
      <c r="E1087" s="3" t="s">
        <v>409</v>
      </c>
      <c r="F1087" s="4" t="s">
        <v>649</v>
      </c>
      <c r="G1087" s="8" t="s">
        <v>984</v>
      </c>
      <c r="H1087" s="8" t="s">
        <v>330</v>
      </c>
      <c r="I1087" s="67">
        <f>100000+11715.91</f>
        <v>111715.91</v>
      </c>
      <c r="J1087" s="68">
        <f t="shared" si="30"/>
        <v>148954.54666666666</v>
      </c>
    </row>
    <row r="1088" spans="1:10" ht="33.75">
      <c r="A1088" s="3" t="s">
        <v>563</v>
      </c>
      <c r="B1088" s="66">
        <v>2</v>
      </c>
      <c r="C1088" s="8">
        <v>2</v>
      </c>
      <c r="D1088" s="3" t="s">
        <v>624</v>
      </c>
      <c r="E1088" s="3" t="s">
        <v>409</v>
      </c>
      <c r="F1088" s="3" t="s">
        <v>399</v>
      </c>
      <c r="G1088" s="8" t="s">
        <v>984</v>
      </c>
      <c r="H1088" s="8" t="s">
        <v>423</v>
      </c>
      <c r="I1088" s="67">
        <f>40000+452.22</f>
        <v>40452.22</v>
      </c>
      <c r="J1088" s="68">
        <f t="shared" si="30"/>
        <v>53936.293333333335</v>
      </c>
    </row>
    <row r="1089" spans="1:10" ht="33.75">
      <c r="A1089" s="3" t="s">
        <v>563</v>
      </c>
      <c r="B1089" s="66">
        <v>2</v>
      </c>
      <c r="C1089" s="8">
        <v>2</v>
      </c>
      <c r="D1089" s="3" t="s">
        <v>624</v>
      </c>
      <c r="E1089" s="3" t="s">
        <v>409</v>
      </c>
      <c r="F1089" s="3" t="s">
        <v>276</v>
      </c>
      <c r="G1089" s="8" t="s">
        <v>984</v>
      </c>
      <c r="H1089" s="8" t="s">
        <v>423</v>
      </c>
      <c r="I1089" s="67">
        <v>40000</v>
      </c>
      <c r="J1089" s="68">
        <f t="shared" si="30"/>
        <v>53333.333333333336</v>
      </c>
    </row>
    <row r="1090" spans="1:10" ht="33.75">
      <c r="A1090" s="3" t="s">
        <v>563</v>
      </c>
      <c r="B1090" s="66">
        <v>2</v>
      </c>
      <c r="C1090" s="8">
        <v>2</v>
      </c>
      <c r="D1090" s="3" t="s">
        <v>624</v>
      </c>
      <c r="E1090" s="3" t="s">
        <v>409</v>
      </c>
      <c r="F1090" s="3" t="s">
        <v>421</v>
      </c>
      <c r="G1090" s="8" t="s">
        <v>984</v>
      </c>
      <c r="H1090" s="8" t="s">
        <v>423</v>
      </c>
      <c r="I1090" s="67">
        <f>80000+11482.95</f>
        <v>91482.95</v>
      </c>
      <c r="J1090" s="68">
        <f t="shared" si="30"/>
        <v>121977.26666666666</v>
      </c>
    </row>
    <row r="1091" spans="1:10" ht="33.75">
      <c r="A1091" s="3" t="s">
        <v>563</v>
      </c>
      <c r="B1091" s="66">
        <v>2</v>
      </c>
      <c r="C1091" s="8">
        <v>2</v>
      </c>
      <c r="D1091" s="3" t="s">
        <v>624</v>
      </c>
      <c r="E1091" s="3" t="s">
        <v>409</v>
      </c>
      <c r="F1091" s="3" t="s">
        <v>538</v>
      </c>
      <c r="G1091" s="8" t="s">
        <v>984</v>
      </c>
      <c r="H1091" s="8" t="s">
        <v>423</v>
      </c>
      <c r="I1091" s="67">
        <v>75000</v>
      </c>
      <c r="J1091" s="68">
        <f t="shared" si="30"/>
        <v>100000</v>
      </c>
    </row>
    <row r="1092" spans="1:10" ht="33.75">
      <c r="A1092" s="3" t="s">
        <v>563</v>
      </c>
      <c r="B1092" s="66">
        <v>2</v>
      </c>
      <c r="C1092" s="8">
        <v>2</v>
      </c>
      <c r="D1092" s="3" t="s">
        <v>624</v>
      </c>
      <c r="E1092" s="3" t="s">
        <v>409</v>
      </c>
      <c r="F1092" s="3" t="s">
        <v>1010</v>
      </c>
      <c r="G1092" s="8" t="s">
        <v>984</v>
      </c>
      <c r="H1092" s="8" t="s">
        <v>423</v>
      </c>
      <c r="I1092" s="67">
        <f>20000+11482.95</f>
        <v>31482.95</v>
      </c>
      <c r="J1092" s="68">
        <f t="shared" si="30"/>
        <v>41977.26666666667</v>
      </c>
    </row>
    <row r="1093" spans="1:10" ht="33.75">
      <c r="A1093" s="3" t="s">
        <v>563</v>
      </c>
      <c r="B1093" s="66">
        <v>2</v>
      </c>
      <c r="C1093" s="8">
        <v>2</v>
      </c>
      <c r="D1093" s="3" t="s">
        <v>624</v>
      </c>
      <c r="E1093" s="3" t="s">
        <v>409</v>
      </c>
      <c r="F1093" s="3" t="s">
        <v>456</v>
      </c>
      <c r="G1093" s="8" t="s">
        <v>984</v>
      </c>
      <c r="H1093" s="8" t="s">
        <v>423</v>
      </c>
      <c r="I1093" s="67">
        <v>18750</v>
      </c>
      <c r="J1093" s="68">
        <f t="shared" si="30"/>
        <v>25000</v>
      </c>
    </row>
    <row r="1094" spans="1:10" ht="33.75">
      <c r="A1094" s="3" t="s">
        <v>563</v>
      </c>
      <c r="B1094" s="66">
        <v>2</v>
      </c>
      <c r="C1094" s="8">
        <v>2</v>
      </c>
      <c r="D1094" s="3" t="s">
        <v>624</v>
      </c>
      <c r="E1094" s="3" t="s">
        <v>409</v>
      </c>
      <c r="F1094" s="3" t="s">
        <v>422</v>
      </c>
      <c r="G1094" s="8" t="s">
        <v>984</v>
      </c>
      <c r="H1094" s="8" t="s">
        <v>423</v>
      </c>
      <c r="I1094" s="67">
        <f>80000+11482.95</f>
        <v>91482.95</v>
      </c>
      <c r="J1094" s="68">
        <f t="shared" si="30"/>
        <v>121977.26666666666</v>
      </c>
    </row>
    <row r="1095" spans="1:10" ht="33.75">
      <c r="A1095" s="3" t="s">
        <v>563</v>
      </c>
      <c r="B1095" s="66">
        <v>2</v>
      </c>
      <c r="C1095" s="8">
        <v>2</v>
      </c>
      <c r="D1095" s="3" t="s">
        <v>624</v>
      </c>
      <c r="E1095" s="3" t="s">
        <v>409</v>
      </c>
      <c r="F1095" s="3" t="s">
        <v>414</v>
      </c>
      <c r="G1095" s="8" t="s">
        <v>984</v>
      </c>
      <c r="H1095" s="8" t="s">
        <v>423</v>
      </c>
      <c r="I1095" s="67">
        <f>75000+11250</f>
        <v>86250</v>
      </c>
      <c r="J1095" s="68">
        <f t="shared" si="30"/>
        <v>115000</v>
      </c>
    </row>
    <row r="1096" spans="1:10" ht="33.75">
      <c r="A1096" s="3" t="s">
        <v>563</v>
      </c>
      <c r="B1096" s="66">
        <v>2</v>
      </c>
      <c r="C1096" s="8">
        <v>2</v>
      </c>
      <c r="D1096" s="3" t="s">
        <v>624</v>
      </c>
      <c r="E1096" s="3" t="s">
        <v>409</v>
      </c>
      <c r="F1096" s="3" t="s">
        <v>299</v>
      </c>
      <c r="G1096" s="8" t="s">
        <v>984</v>
      </c>
      <c r="H1096" s="8" t="s">
        <v>423</v>
      </c>
      <c r="I1096" s="67">
        <f>75000-57867.01</f>
        <v>17132.989999999998</v>
      </c>
      <c r="J1096" s="68">
        <f t="shared" si="30"/>
        <v>22843.986666666664</v>
      </c>
    </row>
    <row r="1097" spans="1:10" ht="33.75">
      <c r="A1097" s="3" t="s">
        <v>563</v>
      </c>
      <c r="B1097" s="66">
        <v>2</v>
      </c>
      <c r="C1097" s="8">
        <v>2</v>
      </c>
      <c r="D1097" s="3" t="s">
        <v>624</v>
      </c>
      <c r="E1097" s="3" t="s">
        <v>409</v>
      </c>
      <c r="F1097" s="3" t="s">
        <v>826</v>
      </c>
      <c r="G1097" s="8" t="s">
        <v>984</v>
      </c>
      <c r="H1097" s="8" t="s">
        <v>423</v>
      </c>
      <c r="I1097" s="67">
        <v>20000</v>
      </c>
      <c r="J1097" s="67">
        <f t="shared" si="30"/>
        <v>26666.666666666668</v>
      </c>
    </row>
    <row r="1098" spans="1:10" ht="33.75">
      <c r="A1098" s="24" t="s">
        <v>563</v>
      </c>
      <c r="B1098" s="6">
        <v>2</v>
      </c>
      <c r="C1098" s="6">
        <v>2</v>
      </c>
      <c r="D1098" s="7" t="s">
        <v>624</v>
      </c>
      <c r="E1098" s="24" t="s">
        <v>409</v>
      </c>
      <c r="F1098" s="24"/>
      <c r="G1098" s="6"/>
      <c r="H1098" s="6"/>
      <c r="I1098" s="13">
        <f>SUBTOTAL(9,I1077:I1097)</f>
        <v>4093304.540000001</v>
      </c>
      <c r="J1098" s="13">
        <f>SUBTOTAL(9,J1077:J1097)</f>
        <v>5457739.386666666</v>
      </c>
    </row>
    <row r="1099" spans="1:10" ht="22.5">
      <c r="A1099" s="3" t="s">
        <v>807</v>
      </c>
      <c r="B1099" s="66">
        <v>2</v>
      </c>
      <c r="C1099" s="8">
        <v>1</v>
      </c>
      <c r="D1099" s="3" t="s">
        <v>631</v>
      </c>
      <c r="E1099" s="3" t="s">
        <v>412</v>
      </c>
      <c r="F1099" s="4" t="s">
        <v>632</v>
      </c>
      <c r="G1099" s="8" t="s">
        <v>983</v>
      </c>
      <c r="H1099" s="8" t="s">
        <v>330</v>
      </c>
      <c r="I1099" s="67">
        <v>150000</v>
      </c>
      <c r="J1099" s="67">
        <f aca="true" t="shared" si="31" ref="J1099:J1104">I1099/0.75</f>
        <v>200000</v>
      </c>
    </row>
    <row r="1100" spans="1:10" ht="22.5">
      <c r="A1100" s="3" t="s">
        <v>807</v>
      </c>
      <c r="B1100" s="66">
        <v>2</v>
      </c>
      <c r="C1100" s="8">
        <v>1</v>
      </c>
      <c r="D1100" s="3" t="s">
        <v>631</v>
      </c>
      <c r="E1100" s="3" t="s">
        <v>412</v>
      </c>
      <c r="F1100" s="3" t="s">
        <v>633</v>
      </c>
      <c r="G1100" s="8" t="s">
        <v>983</v>
      </c>
      <c r="H1100" s="8" t="s">
        <v>423</v>
      </c>
      <c r="I1100" s="67">
        <v>288750</v>
      </c>
      <c r="J1100" s="67">
        <f t="shared" si="31"/>
        <v>385000</v>
      </c>
    </row>
    <row r="1101" spans="1:10" ht="22.5">
      <c r="A1101" s="3" t="s">
        <v>807</v>
      </c>
      <c r="B1101" s="66">
        <v>2</v>
      </c>
      <c r="C1101" s="8">
        <v>1</v>
      </c>
      <c r="D1101" s="3" t="s">
        <v>631</v>
      </c>
      <c r="E1101" s="3" t="s">
        <v>412</v>
      </c>
      <c r="F1101" s="3" t="s">
        <v>287</v>
      </c>
      <c r="G1101" s="8" t="s">
        <v>983</v>
      </c>
      <c r="H1101" s="8" t="s">
        <v>423</v>
      </c>
      <c r="I1101" s="67">
        <v>236250</v>
      </c>
      <c r="J1101" s="67">
        <f t="shared" si="31"/>
        <v>315000</v>
      </c>
    </row>
    <row r="1102" spans="1:10" ht="22.5">
      <c r="A1102" s="3" t="s">
        <v>807</v>
      </c>
      <c r="B1102" s="66">
        <v>2</v>
      </c>
      <c r="C1102" s="8">
        <v>1</v>
      </c>
      <c r="D1102" s="3" t="s">
        <v>631</v>
      </c>
      <c r="E1102" s="3" t="s">
        <v>412</v>
      </c>
      <c r="F1102" s="3" t="s">
        <v>531</v>
      </c>
      <c r="G1102" s="8" t="s">
        <v>983</v>
      </c>
      <c r="H1102" s="8" t="s">
        <v>423</v>
      </c>
      <c r="I1102" s="67">
        <v>75000</v>
      </c>
      <c r="J1102" s="67">
        <f t="shared" si="31"/>
        <v>100000</v>
      </c>
    </row>
    <row r="1103" spans="1:10" ht="22.5">
      <c r="A1103" s="3" t="s">
        <v>807</v>
      </c>
      <c r="B1103" s="66">
        <v>2</v>
      </c>
      <c r="C1103" s="8">
        <v>1</v>
      </c>
      <c r="D1103" s="3" t="s">
        <v>631</v>
      </c>
      <c r="E1103" s="3" t="s">
        <v>412</v>
      </c>
      <c r="F1103" s="3" t="s">
        <v>322</v>
      </c>
      <c r="G1103" s="8" t="s">
        <v>984</v>
      </c>
      <c r="H1103" s="8" t="s">
        <v>423</v>
      </c>
      <c r="I1103" s="67">
        <v>75000</v>
      </c>
      <c r="J1103" s="67">
        <f t="shared" si="31"/>
        <v>100000</v>
      </c>
    </row>
    <row r="1104" spans="1:10" ht="22.5">
      <c r="A1104" s="3" t="s">
        <v>807</v>
      </c>
      <c r="B1104" s="66">
        <v>2</v>
      </c>
      <c r="C1104" s="8">
        <v>1</v>
      </c>
      <c r="D1104" s="3" t="s">
        <v>631</v>
      </c>
      <c r="E1104" s="3" t="s">
        <v>412</v>
      </c>
      <c r="F1104" s="3" t="s">
        <v>634</v>
      </c>
      <c r="G1104" s="8" t="s">
        <v>984</v>
      </c>
      <c r="H1104" s="8" t="s">
        <v>423</v>
      </c>
      <c r="I1104" s="67">
        <v>60000</v>
      </c>
      <c r="J1104" s="67">
        <f t="shared" si="31"/>
        <v>80000</v>
      </c>
    </row>
    <row r="1105" spans="1:10" ht="22.5">
      <c r="A1105" s="24" t="s">
        <v>807</v>
      </c>
      <c r="B1105" s="6">
        <v>2</v>
      </c>
      <c r="C1105" s="6">
        <v>1</v>
      </c>
      <c r="D1105" s="7" t="s">
        <v>631</v>
      </c>
      <c r="E1105" s="24" t="s">
        <v>412</v>
      </c>
      <c r="F1105" s="24"/>
      <c r="G1105" s="6"/>
      <c r="H1105" s="6"/>
      <c r="I1105" s="13">
        <f>SUBTOTAL(9,I1099:I1104)</f>
        <v>885000</v>
      </c>
      <c r="J1105" s="13">
        <f>SUBTOTAL(9,J1099:J1104)</f>
        <v>1180000</v>
      </c>
    </row>
    <row r="1106" spans="1:10" ht="33.75">
      <c r="A1106" s="3" t="s">
        <v>807</v>
      </c>
      <c r="B1106" s="66">
        <v>2</v>
      </c>
      <c r="C1106" s="8">
        <v>4</v>
      </c>
      <c r="D1106" s="3" t="s">
        <v>737</v>
      </c>
      <c r="E1106" s="3" t="s">
        <v>337</v>
      </c>
      <c r="F1106" s="3" t="s">
        <v>835</v>
      </c>
      <c r="G1106" s="8" t="s">
        <v>984</v>
      </c>
      <c r="H1106" s="8" t="s">
        <v>423</v>
      </c>
      <c r="I1106" s="67">
        <v>75000</v>
      </c>
      <c r="J1106" s="67">
        <f aca="true" t="shared" si="32" ref="J1106:J1113">I1106/0.75</f>
        <v>100000</v>
      </c>
    </row>
    <row r="1107" spans="1:10" ht="33.75">
      <c r="A1107" s="3" t="s">
        <v>807</v>
      </c>
      <c r="B1107" s="66">
        <v>2</v>
      </c>
      <c r="C1107" s="8">
        <v>4</v>
      </c>
      <c r="D1107" s="3" t="s">
        <v>737</v>
      </c>
      <c r="E1107" s="3" t="s">
        <v>337</v>
      </c>
      <c r="F1107" s="3" t="s">
        <v>1007</v>
      </c>
      <c r="G1107" s="8" t="s">
        <v>983</v>
      </c>
      <c r="H1107" s="8" t="s">
        <v>330</v>
      </c>
      <c r="I1107" s="67">
        <v>1030504.5</v>
      </c>
      <c r="J1107" s="67">
        <f t="shared" si="32"/>
        <v>1374006</v>
      </c>
    </row>
    <row r="1108" spans="1:10" ht="33.75">
      <c r="A1108" s="3" t="s">
        <v>807</v>
      </c>
      <c r="B1108" s="66">
        <v>2</v>
      </c>
      <c r="C1108" s="8">
        <v>4</v>
      </c>
      <c r="D1108" s="3" t="s">
        <v>737</v>
      </c>
      <c r="E1108" s="3" t="s">
        <v>337</v>
      </c>
      <c r="F1108" s="3" t="s">
        <v>836</v>
      </c>
      <c r="G1108" s="8" t="s">
        <v>983</v>
      </c>
      <c r="H1108" s="8" t="s">
        <v>423</v>
      </c>
      <c r="I1108" s="67">
        <f>100000+27668.25</f>
        <v>127668.25</v>
      </c>
      <c r="J1108" s="67">
        <f t="shared" si="32"/>
        <v>170224.33333333334</v>
      </c>
    </row>
    <row r="1109" spans="1:10" ht="33.75">
      <c r="A1109" s="3" t="s">
        <v>807</v>
      </c>
      <c r="B1109" s="66">
        <v>2</v>
      </c>
      <c r="C1109" s="8">
        <v>4</v>
      </c>
      <c r="D1109" s="3" t="s">
        <v>737</v>
      </c>
      <c r="E1109" s="3" t="s">
        <v>337</v>
      </c>
      <c r="F1109" s="3" t="s">
        <v>837</v>
      </c>
      <c r="G1109" s="8" t="s">
        <v>983</v>
      </c>
      <c r="H1109" s="8" t="s">
        <v>423</v>
      </c>
      <c r="I1109" s="67">
        <f>27668.25-27668.25</f>
        <v>0</v>
      </c>
      <c r="J1109" s="67">
        <f t="shared" si="32"/>
        <v>0</v>
      </c>
    </row>
    <row r="1110" spans="1:10" ht="33.75">
      <c r="A1110" s="3" t="s">
        <v>807</v>
      </c>
      <c r="B1110" s="66">
        <v>2</v>
      </c>
      <c r="C1110" s="8">
        <v>4</v>
      </c>
      <c r="D1110" s="3" t="s">
        <v>737</v>
      </c>
      <c r="E1110" s="3" t="s">
        <v>337</v>
      </c>
      <c r="F1110" s="3" t="s">
        <v>738</v>
      </c>
      <c r="G1110" s="8" t="s">
        <v>983</v>
      </c>
      <c r="H1110" s="8" t="s">
        <v>423</v>
      </c>
      <c r="I1110" s="67">
        <v>90000</v>
      </c>
      <c r="J1110" s="67">
        <f t="shared" si="32"/>
        <v>120000</v>
      </c>
    </row>
    <row r="1111" spans="1:10" ht="33.75">
      <c r="A1111" s="3" t="s">
        <v>807</v>
      </c>
      <c r="B1111" s="66">
        <v>2</v>
      </c>
      <c r="C1111" s="8">
        <v>4</v>
      </c>
      <c r="D1111" s="3" t="s">
        <v>737</v>
      </c>
      <c r="E1111" s="3" t="s">
        <v>337</v>
      </c>
      <c r="F1111" s="3" t="s">
        <v>595</v>
      </c>
      <c r="G1111" s="8" t="s">
        <v>983</v>
      </c>
      <c r="H1111" s="8" t="s">
        <v>423</v>
      </c>
      <c r="I1111" s="67">
        <v>194001.83</v>
      </c>
      <c r="J1111" s="67">
        <f t="shared" si="32"/>
        <v>258669.10666666666</v>
      </c>
    </row>
    <row r="1112" spans="1:10" ht="33.75">
      <c r="A1112" s="3" t="s">
        <v>807</v>
      </c>
      <c r="B1112" s="66">
        <v>2</v>
      </c>
      <c r="C1112" s="8">
        <v>4</v>
      </c>
      <c r="D1112" s="3" t="s">
        <v>737</v>
      </c>
      <c r="E1112" s="3" t="s">
        <v>337</v>
      </c>
      <c r="F1112" s="3" t="s">
        <v>441</v>
      </c>
      <c r="G1112" s="8" t="s">
        <v>984</v>
      </c>
      <c r="H1112" s="8" t="s">
        <v>423</v>
      </c>
      <c r="I1112" s="67">
        <v>139500</v>
      </c>
      <c r="J1112" s="67">
        <f t="shared" si="32"/>
        <v>186000</v>
      </c>
    </row>
    <row r="1113" spans="1:10" ht="33.75">
      <c r="A1113" s="3" t="s">
        <v>807</v>
      </c>
      <c r="B1113" s="66">
        <v>2</v>
      </c>
      <c r="C1113" s="8">
        <v>4</v>
      </c>
      <c r="D1113" s="3" t="s">
        <v>737</v>
      </c>
      <c r="E1113" s="3" t="s">
        <v>337</v>
      </c>
      <c r="F1113" s="3" t="s">
        <v>4</v>
      </c>
      <c r="G1113" s="8" t="s">
        <v>984</v>
      </c>
      <c r="H1113" s="8" t="s">
        <v>423</v>
      </c>
      <c r="I1113" s="67">
        <v>98000</v>
      </c>
      <c r="J1113" s="67">
        <f t="shared" si="32"/>
        <v>130666.66666666667</v>
      </c>
    </row>
    <row r="1114" spans="1:10" ht="33.75">
      <c r="A1114" s="24" t="s">
        <v>807</v>
      </c>
      <c r="B1114" s="6">
        <v>2</v>
      </c>
      <c r="C1114" s="6">
        <v>4</v>
      </c>
      <c r="D1114" s="7" t="s">
        <v>737</v>
      </c>
      <c r="E1114" s="24" t="s">
        <v>337</v>
      </c>
      <c r="F1114" s="24"/>
      <c r="G1114" s="6"/>
      <c r="H1114" s="6"/>
      <c r="I1114" s="13">
        <f>SUBTOTAL(9,I1106:I1113)</f>
        <v>1754674.58</v>
      </c>
      <c r="J1114" s="13">
        <f>SUBTOTAL(9,J1106:J1113)</f>
        <v>2339566.1066666665</v>
      </c>
    </row>
    <row r="1115" spans="1:10" ht="45">
      <c r="A1115" s="3" t="s">
        <v>562</v>
      </c>
      <c r="B1115" s="66">
        <v>2</v>
      </c>
      <c r="C1115" s="8">
        <v>2</v>
      </c>
      <c r="D1115" s="3" t="s">
        <v>5</v>
      </c>
      <c r="E1115" s="3" t="s">
        <v>502</v>
      </c>
      <c r="F1115" s="3" t="s">
        <v>6</v>
      </c>
      <c r="G1115" s="8" t="s">
        <v>983</v>
      </c>
      <c r="H1115" s="8" t="s">
        <v>423</v>
      </c>
      <c r="I1115" s="67">
        <v>81750.09</v>
      </c>
      <c r="J1115" s="67">
        <f>I1115/0.75</f>
        <v>109000.12</v>
      </c>
    </row>
    <row r="1116" spans="1:10" ht="45">
      <c r="A1116" s="3" t="s">
        <v>562</v>
      </c>
      <c r="B1116" s="66">
        <v>2</v>
      </c>
      <c r="C1116" s="8">
        <v>2</v>
      </c>
      <c r="D1116" s="3" t="s">
        <v>5</v>
      </c>
      <c r="E1116" s="3" t="s">
        <v>502</v>
      </c>
      <c r="F1116" s="3" t="s">
        <v>799</v>
      </c>
      <c r="G1116" s="8" t="s">
        <v>984</v>
      </c>
      <c r="H1116" s="8" t="s">
        <v>423</v>
      </c>
      <c r="I1116" s="67">
        <v>30000</v>
      </c>
      <c r="J1116" s="67">
        <f>I1116/0.75</f>
        <v>40000</v>
      </c>
    </row>
    <row r="1117" spans="1:10" ht="45">
      <c r="A1117" s="3" t="s">
        <v>562</v>
      </c>
      <c r="B1117" s="66">
        <v>2</v>
      </c>
      <c r="C1117" s="8">
        <v>2</v>
      </c>
      <c r="D1117" s="3" t="s">
        <v>5</v>
      </c>
      <c r="E1117" s="3" t="s">
        <v>502</v>
      </c>
      <c r="F1117" s="4" t="s">
        <v>503</v>
      </c>
      <c r="G1117" s="8" t="s">
        <v>983</v>
      </c>
      <c r="H1117" s="8" t="s">
        <v>330</v>
      </c>
      <c r="I1117" s="67">
        <v>109875</v>
      </c>
      <c r="J1117" s="67">
        <f>I1117/0.75</f>
        <v>146500</v>
      </c>
    </row>
    <row r="1118" spans="1:10" ht="45">
      <c r="A1118" s="24" t="s">
        <v>562</v>
      </c>
      <c r="B1118" s="6">
        <v>2</v>
      </c>
      <c r="C1118" s="6">
        <v>2</v>
      </c>
      <c r="D1118" s="7" t="s">
        <v>5</v>
      </c>
      <c r="E1118" s="24" t="s">
        <v>502</v>
      </c>
      <c r="F1118" s="24"/>
      <c r="G1118" s="6"/>
      <c r="H1118" s="6"/>
      <c r="I1118" s="13">
        <f>SUBTOTAL(9,I1115:I1117)</f>
        <v>221625.09</v>
      </c>
      <c r="J1118" s="13">
        <f>SUBTOTAL(9,J1115:J1117)</f>
        <v>295500.12</v>
      </c>
    </row>
    <row r="1119" spans="1:10" ht="45">
      <c r="A1119" s="3" t="s">
        <v>562</v>
      </c>
      <c r="B1119" s="66">
        <v>2</v>
      </c>
      <c r="C1119" s="8">
        <v>1</v>
      </c>
      <c r="D1119" s="3" t="s">
        <v>597</v>
      </c>
      <c r="E1119" s="3" t="s">
        <v>559</v>
      </c>
      <c r="F1119" s="4" t="s">
        <v>596</v>
      </c>
      <c r="G1119" s="8" t="s">
        <v>984</v>
      </c>
      <c r="H1119" s="8" t="s">
        <v>330</v>
      </c>
      <c r="I1119" s="67">
        <v>142088.93</v>
      </c>
      <c r="J1119" s="67">
        <f aca="true" t="shared" si="33" ref="J1119:J1126">I1119/0.75</f>
        <v>189451.90666666665</v>
      </c>
    </row>
    <row r="1120" spans="1:10" ht="45">
      <c r="A1120" s="3" t="s">
        <v>562</v>
      </c>
      <c r="B1120" s="66">
        <v>2</v>
      </c>
      <c r="C1120" s="8">
        <v>1</v>
      </c>
      <c r="D1120" s="3" t="s">
        <v>597</v>
      </c>
      <c r="E1120" s="3" t="s">
        <v>559</v>
      </c>
      <c r="F1120" s="3" t="s">
        <v>598</v>
      </c>
      <c r="G1120" s="8" t="s">
        <v>984</v>
      </c>
      <c r="H1120" s="8" t="s">
        <v>423</v>
      </c>
      <c r="I1120" s="67">
        <v>97390.5</v>
      </c>
      <c r="J1120" s="67">
        <f t="shared" si="33"/>
        <v>129854</v>
      </c>
    </row>
    <row r="1121" spans="1:10" ht="45">
      <c r="A1121" s="3" t="s">
        <v>562</v>
      </c>
      <c r="B1121" s="66">
        <v>2</v>
      </c>
      <c r="C1121" s="8">
        <v>1</v>
      </c>
      <c r="D1121" s="3" t="s">
        <v>597</v>
      </c>
      <c r="E1121" s="3" t="s">
        <v>559</v>
      </c>
      <c r="F1121" s="3" t="s">
        <v>599</v>
      </c>
      <c r="G1121" s="8" t="s">
        <v>983</v>
      </c>
      <c r="H1121" s="8" t="s">
        <v>423</v>
      </c>
      <c r="I1121" s="67">
        <v>77844</v>
      </c>
      <c r="J1121" s="67">
        <f t="shared" si="33"/>
        <v>103792</v>
      </c>
    </row>
    <row r="1122" spans="1:10" ht="45">
      <c r="A1122" s="3" t="s">
        <v>562</v>
      </c>
      <c r="B1122" s="66">
        <v>2</v>
      </c>
      <c r="C1122" s="8">
        <v>1</v>
      </c>
      <c r="D1122" s="3" t="s">
        <v>597</v>
      </c>
      <c r="E1122" s="3" t="s">
        <v>559</v>
      </c>
      <c r="F1122" s="3" t="s">
        <v>560</v>
      </c>
      <c r="G1122" s="8" t="s">
        <v>983</v>
      </c>
      <c r="H1122" s="8" t="s">
        <v>423</v>
      </c>
      <c r="I1122" s="67">
        <v>102981.01</v>
      </c>
      <c r="J1122" s="67">
        <f t="shared" si="33"/>
        <v>137308.01333333334</v>
      </c>
    </row>
    <row r="1123" spans="1:10" ht="45">
      <c r="A1123" s="3" t="s">
        <v>562</v>
      </c>
      <c r="B1123" s="66">
        <v>2</v>
      </c>
      <c r="C1123" s="8">
        <v>1</v>
      </c>
      <c r="D1123" s="3" t="s">
        <v>597</v>
      </c>
      <c r="E1123" s="3" t="s">
        <v>559</v>
      </c>
      <c r="F1123" s="3" t="s">
        <v>307</v>
      </c>
      <c r="G1123" s="8" t="s">
        <v>983</v>
      </c>
      <c r="H1123" s="8" t="s">
        <v>423</v>
      </c>
      <c r="I1123" s="67">
        <v>158185.74</v>
      </c>
      <c r="J1123" s="67">
        <f t="shared" si="33"/>
        <v>210914.31999999998</v>
      </c>
    </row>
    <row r="1124" spans="1:10" ht="45">
      <c r="A1124" s="3" t="s">
        <v>562</v>
      </c>
      <c r="B1124" s="66">
        <v>2</v>
      </c>
      <c r="C1124" s="8">
        <v>1</v>
      </c>
      <c r="D1124" s="3" t="s">
        <v>597</v>
      </c>
      <c r="E1124" s="3" t="s">
        <v>559</v>
      </c>
      <c r="F1124" s="3" t="s">
        <v>338</v>
      </c>
      <c r="G1124" s="8" t="s">
        <v>983</v>
      </c>
      <c r="H1124" s="8" t="s">
        <v>423</v>
      </c>
      <c r="I1124" s="67">
        <v>90148.68</v>
      </c>
      <c r="J1124" s="67">
        <f t="shared" si="33"/>
        <v>120198.23999999999</v>
      </c>
    </row>
    <row r="1125" spans="1:10" ht="45">
      <c r="A1125" s="3" t="s">
        <v>562</v>
      </c>
      <c r="B1125" s="66">
        <v>2</v>
      </c>
      <c r="C1125" s="8">
        <v>1</v>
      </c>
      <c r="D1125" s="3" t="s">
        <v>597</v>
      </c>
      <c r="E1125" s="3" t="s">
        <v>559</v>
      </c>
      <c r="F1125" s="3" t="s">
        <v>445</v>
      </c>
      <c r="G1125" s="8" t="s">
        <v>984</v>
      </c>
      <c r="H1125" s="8" t="s">
        <v>423</v>
      </c>
      <c r="I1125" s="67">
        <v>97390.5</v>
      </c>
      <c r="J1125" s="67">
        <f t="shared" si="33"/>
        <v>129854</v>
      </c>
    </row>
    <row r="1126" spans="1:10" ht="45">
      <c r="A1126" s="3" t="s">
        <v>562</v>
      </c>
      <c r="B1126" s="66">
        <v>2</v>
      </c>
      <c r="C1126" s="8">
        <v>1</v>
      </c>
      <c r="D1126" s="3" t="s">
        <v>597</v>
      </c>
      <c r="E1126" s="3" t="s">
        <v>559</v>
      </c>
      <c r="F1126" s="3" t="s">
        <v>357</v>
      </c>
      <c r="G1126" s="8" t="s">
        <v>984</v>
      </c>
      <c r="H1126" s="8" t="s">
        <v>423</v>
      </c>
      <c r="I1126" s="67">
        <v>20445.22</v>
      </c>
      <c r="J1126" s="67">
        <f t="shared" si="33"/>
        <v>27260.293333333335</v>
      </c>
    </row>
    <row r="1127" spans="1:10" ht="45">
      <c r="A1127" s="24" t="s">
        <v>562</v>
      </c>
      <c r="B1127" s="6">
        <v>2</v>
      </c>
      <c r="C1127" s="6">
        <v>1</v>
      </c>
      <c r="D1127" s="7" t="s">
        <v>597</v>
      </c>
      <c r="E1127" s="24" t="s">
        <v>559</v>
      </c>
      <c r="F1127" s="24"/>
      <c r="G1127" s="6"/>
      <c r="H1127" s="6"/>
      <c r="I1127" s="13">
        <f>SUBTOTAL(9,I1119:I1126)</f>
        <v>786474.5799999998</v>
      </c>
      <c r="J1127" s="13">
        <f>SUBTOTAL(9,J1119:J1126)</f>
        <v>1048632.7733333332</v>
      </c>
    </row>
    <row r="1128" spans="1:10" ht="45">
      <c r="A1128" s="3" t="s">
        <v>807</v>
      </c>
      <c r="B1128" s="66">
        <v>2</v>
      </c>
      <c r="C1128" s="8">
        <v>1</v>
      </c>
      <c r="D1128" s="3" t="s">
        <v>841</v>
      </c>
      <c r="E1128" s="3" t="s">
        <v>339</v>
      </c>
      <c r="F1128" s="3" t="s">
        <v>3</v>
      </c>
      <c r="G1128" s="8" t="s">
        <v>983</v>
      </c>
      <c r="H1128" s="8" t="s">
        <v>423</v>
      </c>
      <c r="I1128" s="67">
        <v>908759.5</v>
      </c>
      <c r="J1128" s="67">
        <f>I1128/0.75</f>
        <v>1211679.3333333333</v>
      </c>
    </row>
    <row r="1129" spans="1:10" ht="33.75">
      <c r="A1129" s="3" t="s">
        <v>807</v>
      </c>
      <c r="B1129" s="66">
        <v>2</v>
      </c>
      <c r="C1129" s="8">
        <v>1</v>
      </c>
      <c r="D1129" s="3" t="s">
        <v>841</v>
      </c>
      <c r="E1129" s="3" t="s">
        <v>339</v>
      </c>
      <c r="F1129" s="4" t="s">
        <v>340</v>
      </c>
      <c r="G1129" s="8" t="s">
        <v>984</v>
      </c>
      <c r="H1129" s="8" t="s">
        <v>330</v>
      </c>
      <c r="I1129" s="67">
        <v>500000</v>
      </c>
      <c r="J1129" s="67">
        <f>I1129/0.75</f>
        <v>666666.6666666666</v>
      </c>
    </row>
    <row r="1130" spans="1:10" ht="33.75">
      <c r="A1130" s="24" t="s">
        <v>807</v>
      </c>
      <c r="B1130" s="6">
        <v>2</v>
      </c>
      <c r="C1130" s="6">
        <v>1</v>
      </c>
      <c r="D1130" s="7" t="s">
        <v>841</v>
      </c>
      <c r="E1130" s="24" t="s">
        <v>339</v>
      </c>
      <c r="F1130" s="24"/>
      <c r="G1130" s="6"/>
      <c r="H1130" s="6"/>
      <c r="I1130" s="13">
        <f>SUBTOTAL(9,I1128:I1129)</f>
        <v>1408759.5</v>
      </c>
      <c r="J1130" s="13">
        <f>SUBTOTAL(9,J1128:J1129)</f>
        <v>1878346</v>
      </c>
    </row>
    <row r="1131" spans="1:10" ht="33.75">
      <c r="A1131" s="3" t="s">
        <v>564</v>
      </c>
      <c r="B1131" s="66">
        <v>2</v>
      </c>
      <c r="C1131" s="8">
        <v>1</v>
      </c>
      <c r="D1131" s="3" t="s">
        <v>491</v>
      </c>
      <c r="E1131" s="3" t="s">
        <v>232</v>
      </c>
      <c r="F1131" s="3" t="s">
        <v>279</v>
      </c>
      <c r="G1131" s="8" t="s">
        <v>984</v>
      </c>
      <c r="H1131" s="8" t="s">
        <v>423</v>
      </c>
      <c r="I1131" s="67">
        <f>65000-18450.96</f>
        <v>46549.04</v>
      </c>
      <c r="J1131" s="67">
        <f>I1131/0.75</f>
        <v>62065.386666666665</v>
      </c>
    </row>
    <row r="1132" spans="1:10" ht="33.75">
      <c r="A1132" s="3" t="s">
        <v>564</v>
      </c>
      <c r="B1132" s="66">
        <v>2</v>
      </c>
      <c r="C1132" s="8">
        <v>1</v>
      </c>
      <c r="D1132" s="3" t="s">
        <v>491</v>
      </c>
      <c r="E1132" s="3" t="s">
        <v>232</v>
      </c>
      <c r="F1132" s="3" t="s">
        <v>797</v>
      </c>
      <c r="G1132" s="8" t="s">
        <v>983</v>
      </c>
      <c r="H1132" s="8" t="s">
        <v>423</v>
      </c>
      <c r="I1132" s="67">
        <v>140175</v>
      </c>
      <c r="J1132" s="67">
        <f>I1132/0.75</f>
        <v>186900</v>
      </c>
    </row>
    <row r="1133" spans="1:10" ht="33.75">
      <c r="A1133" s="3" t="s">
        <v>564</v>
      </c>
      <c r="B1133" s="66">
        <v>2</v>
      </c>
      <c r="C1133" s="8">
        <v>1</v>
      </c>
      <c r="D1133" s="3" t="s">
        <v>491</v>
      </c>
      <c r="E1133" s="3" t="s">
        <v>232</v>
      </c>
      <c r="F1133" s="4" t="s">
        <v>519</v>
      </c>
      <c r="G1133" s="8" t="s">
        <v>984</v>
      </c>
      <c r="H1133" s="8" t="s">
        <v>330</v>
      </c>
      <c r="I1133" s="67">
        <f>65000+18450.96</f>
        <v>83450.95999999999</v>
      </c>
      <c r="J1133" s="67">
        <f>I1133/0.75</f>
        <v>111267.94666666666</v>
      </c>
    </row>
    <row r="1134" spans="1:10" ht="33.75">
      <c r="A1134" s="3" t="s">
        <v>564</v>
      </c>
      <c r="B1134" s="66">
        <v>2</v>
      </c>
      <c r="C1134" s="8">
        <v>1</v>
      </c>
      <c r="D1134" s="3" t="s">
        <v>491</v>
      </c>
      <c r="E1134" s="3" t="s">
        <v>232</v>
      </c>
      <c r="F1134" s="3" t="s">
        <v>269</v>
      </c>
      <c r="G1134" s="8" t="s">
        <v>984</v>
      </c>
      <c r="H1134" s="8" t="s">
        <v>423</v>
      </c>
      <c r="I1134" s="67">
        <v>40000</v>
      </c>
      <c r="J1134" s="67">
        <f>I1134/0.75</f>
        <v>53333.333333333336</v>
      </c>
    </row>
    <row r="1135" spans="1:10" ht="33.75">
      <c r="A1135" s="24" t="s">
        <v>564</v>
      </c>
      <c r="B1135" s="6">
        <v>2</v>
      </c>
      <c r="C1135" s="6">
        <v>1</v>
      </c>
      <c r="D1135" s="7" t="s">
        <v>491</v>
      </c>
      <c r="E1135" s="24" t="s">
        <v>232</v>
      </c>
      <c r="F1135" s="24"/>
      <c r="G1135" s="6"/>
      <c r="H1135" s="6"/>
      <c r="I1135" s="13">
        <f>SUBTOTAL(9,I1131:I1134)</f>
        <v>310175</v>
      </c>
      <c r="J1135" s="13">
        <f>SUBTOTAL(9,J1131:J1134)</f>
        <v>413566.6666666666</v>
      </c>
    </row>
    <row r="1136" spans="1:10" ht="33.75">
      <c r="A1136" s="3" t="s">
        <v>562</v>
      </c>
      <c r="B1136" s="66">
        <v>2</v>
      </c>
      <c r="C1136" s="8">
        <v>3</v>
      </c>
      <c r="D1136" s="3" t="s">
        <v>492</v>
      </c>
      <c r="E1136" s="3" t="s">
        <v>493</v>
      </c>
      <c r="F1136" s="3" t="s">
        <v>494</v>
      </c>
      <c r="G1136" s="8" t="s">
        <v>983</v>
      </c>
      <c r="H1136" s="8" t="s">
        <v>423</v>
      </c>
      <c r="I1136" s="67">
        <v>0</v>
      </c>
      <c r="J1136" s="67">
        <f aca="true" t="shared" si="34" ref="J1136:J1145">I1136/0.75</f>
        <v>0</v>
      </c>
    </row>
    <row r="1137" spans="1:10" ht="33.75">
      <c r="A1137" s="3" t="s">
        <v>562</v>
      </c>
      <c r="B1137" s="66">
        <v>2</v>
      </c>
      <c r="C1137" s="8">
        <v>3</v>
      </c>
      <c r="D1137" s="3" t="s">
        <v>492</v>
      </c>
      <c r="E1137" s="3" t="s">
        <v>493</v>
      </c>
      <c r="F1137" s="3" t="s">
        <v>495</v>
      </c>
      <c r="G1137" s="8" t="s">
        <v>983</v>
      </c>
      <c r="H1137" s="8" t="s">
        <v>423</v>
      </c>
      <c r="I1137" s="67">
        <v>0</v>
      </c>
      <c r="J1137" s="67">
        <f t="shared" si="34"/>
        <v>0</v>
      </c>
    </row>
    <row r="1138" spans="1:10" ht="33.75">
      <c r="A1138" s="3" t="s">
        <v>562</v>
      </c>
      <c r="B1138" s="66">
        <v>2</v>
      </c>
      <c r="C1138" s="8">
        <v>3</v>
      </c>
      <c r="D1138" s="3" t="s">
        <v>492</v>
      </c>
      <c r="E1138" s="3" t="s">
        <v>493</v>
      </c>
      <c r="F1138" s="3" t="s">
        <v>6</v>
      </c>
      <c r="G1138" s="8" t="s">
        <v>983</v>
      </c>
      <c r="H1138" s="8" t="s">
        <v>423</v>
      </c>
      <c r="I1138" s="67">
        <v>48450</v>
      </c>
      <c r="J1138" s="67">
        <f t="shared" si="34"/>
        <v>64600</v>
      </c>
    </row>
    <row r="1139" spans="1:10" ht="33.75">
      <c r="A1139" s="3" t="s">
        <v>562</v>
      </c>
      <c r="B1139" s="66">
        <v>2</v>
      </c>
      <c r="C1139" s="8">
        <v>3</v>
      </c>
      <c r="D1139" s="3" t="s">
        <v>492</v>
      </c>
      <c r="E1139" s="3" t="s">
        <v>493</v>
      </c>
      <c r="F1139" s="3" t="s">
        <v>670</v>
      </c>
      <c r="G1139" s="8" t="s">
        <v>983</v>
      </c>
      <c r="H1139" s="8" t="s">
        <v>423</v>
      </c>
      <c r="I1139" s="67">
        <v>55425</v>
      </c>
      <c r="J1139" s="67">
        <f t="shared" si="34"/>
        <v>73900</v>
      </c>
    </row>
    <row r="1140" spans="1:10" ht="33.75">
      <c r="A1140" s="3" t="s">
        <v>562</v>
      </c>
      <c r="B1140" s="66">
        <v>2</v>
      </c>
      <c r="C1140" s="8">
        <v>3</v>
      </c>
      <c r="D1140" s="3" t="s">
        <v>492</v>
      </c>
      <c r="E1140" s="3" t="s">
        <v>493</v>
      </c>
      <c r="F1140" s="3" t="s">
        <v>496</v>
      </c>
      <c r="G1140" s="8" t="s">
        <v>983</v>
      </c>
      <c r="H1140" s="8" t="s">
        <v>423</v>
      </c>
      <c r="I1140" s="67">
        <v>48450</v>
      </c>
      <c r="J1140" s="67">
        <f t="shared" si="34"/>
        <v>64600</v>
      </c>
    </row>
    <row r="1141" spans="1:10" ht="33.75">
      <c r="A1141" s="3" t="s">
        <v>562</v>
      </c>
      <c r="B1141" s="66">
        <v>2</v>
      </c>
      <c r="C1141" s="8">
        <v>3</v>
      </c>
      <c r="D1141" s="3" t="s">
        <v>492</v>
      </c>
      <c r="E1141" s="3" t="s">
        <v>493</v>
      </c>
      <c r="F1141" s="4" t="s">
        <v>671</v>
      </c>
      <c r="G1141" s="8" t="s">
        <v>984</v>
      </c>
      <c r="H1141" s="8" t="s">
        <v>330</v>
      </c>
      <c r="I1141" s="67">
        <f>53775+51000</f>
        <v>104775</v>
      </c>
      <c r="J1141" s="67">
        <f t="shared" si="34"/>
        <v>139700</v>
      </c>
    </row>
    <row r="1142" spans="1:10" ht="33.75">
      <c r="A1142" s="3" t="s">
        <v>562</v>
      </c>
      <c r="B1142" s="66">
        <v>2</v>
      </c>
      <c r="C1142" s="8">
        <v>3</v>
      </c>
      <c r="D1142" s="3" t="s">
        <v>492</v>
      </c>
      <c r="E1142" s="3" t="s">
        <v>493</v>
      </c>
      <c r="F1142" s="3" t="s">
        <v>672</v>
      </c>
      <c r="G1142" s="8" t="s">
        <v>984</v>
      </c>
      <c r="H1142" s="8" t="s">
        <v>423</v>
      </c>
      <c r="I1142" s="67">
        <f>48450-12750</f>
        <v>35700</v>
      </c>
      <c r="J1142" s="67">
        <f t="shared" si="34"/>
        <v>47600</v>
      </c>
    </row>
    <row r="1143" spans="1:10" ht="33.75">
      <c r="A1143" s="3" t="s">
        <v>562</v>
      </c>
      <c r="B1143" s="66">
        <v>2</v>
      </c>
      <c r="C1143" s="8">
        <v>3</v>
      </c>
      <c r="D1143" s="3" t="s">
        <v>492</v>
      </c>
      <c r="E1143" s="3" t="s">
        <v>493</v>
      </c>
      <c r="F1143" s="3" t="s">
        <v>497</v>
      </c>
      <c r="G1143" s="8" t="s">
        <v>984</v>
      </c>
      <c r="H1143" s="8" t="s">
        <v>423</v>
      </c>
      <c r="I1143" s="67">
        <f>48450-12750</f>
        <v>35700</v>
      </c>
      <c r="J1143" s="67">
        <f t="shared" si="34"/>
        <v>47600</v>
      </c>
    </row>
    <row r="1144" spans="1:10" ht="33.75">
      <c r="A1144" s="3" t="s">
        <v>562</v>
      </c>
      <c r="B1144" s="66">
        <v>2</v>
      </c>
      <c r="C1144" s="8">
        <v>3</v>
      </c>
      <c r="D1144" s="3" t="s">
        <v>492</v>
      </c>
      <c r="E1144" s="3" t="s">
        <v>493</v>
      </c>
      <c r="F1144" s="3" t="s">
        <v>498</v>
      </c>
      <c r="G1144" s="8" t="s">
        <v>984</v>
      </c>
      <c r="H1144" s="8" t="s">
        <v>423</v>
      </c>
      <c r="I1144" s="67">
        <f>48450-12750</f>
        <v>35700</v>
      </c>
      <c r="J1144" s="67">
        <f t="shared" si="34"/>
        <v>47600</v>
      </c>
    </row>
    <row r="1145" spans="1:10" ht="33.75">
      <c r="A1145" s="3" t="s">
        <v>562</v>
      </c>
      <c r="B1145" s="66">
        <v>2</v>
      </c>
      <c r="C1145" s="8">
        <v>3</v>
      </c>
      <c r="D1145" s="3" t="s">
        <v>492</v>
      </c>
      <c r="E1145" s="3" t="s">
        <v>493</v>
      </c>
      <c r="F1145" s="3" t="s">
        <v>499</v>
      </c>
      <c r="G1145" s="8" t="s">
        <v>984</v>
      </c>
      <c r="H1145" s="8" t="s">
        <v>423</v>
      </c>
      <c r="I1145" s="67">
        <f>48450-12750</f>
        <v>35700</v>
      </c>
      <c r="J1145" s="67">
        <f t="shared" si="34"/>
        <v>47600</v>
      </c>
    </row>
    <row r="1146" spans="1:10" ht="33.75">
      <c r="A1146" s="24" t="s">
        <v>562</v>
      </c>
      <c r="B1146" s="6">
        <v>2</v>
      </c>
      <c r="C1146" s="6">
        <v>3</v>
      </c>
      <c r="D1146" s="7" t="s">
        <v>492</v>
      </c>
      <c r="E1146" s="24" t="s">
        <v>493</v>
      </c>
      <c r="F1146" s="24"/>
      <c r="G1146" s="6"/>
      <c r="H1146" s="6"/>
      <c r="I1146" s="13">
        <f>SUBTOTAL(9,I1136:I1145)</f>
        <v>399900</v>
      </c>
      <c r="J1146" s="13">
        <f>SUBTOTAL(9,J1136:J1145)</f>
        <v>533200</v>
      </c>
    </row>
    <row r="1147" spans="1:10" ht="45">
      <c r="A1147" s="3" t="s">
        <v>807</v>
      </c>
      <c r="B1147" s="66">
        <v>2</v>
      </c>
      <c r="C1147" s="8">
        <v>1</v>
      </c>
      <c r="D1147" s="3" t="s">
        <v>482</v>
      </c>
      <c r="E1147" s="3" t="s">
        <v>250</v>
      </c>
      <c r="F1147" s="4" t="s">
        <v>784</v>
      </c>
      <c r="G1147" s="8" t="s">
        <v>984</v>
      </c>
      <c r="H1147" s="8" t="s">
        <v>330</v>
      </c>
      <c r="I1147" s="67">
        <v>278000</v>
      </c>
      <c r="J1147" s="67">
        <f aca="true" t="shared" si="35" ref="J1147:J1154">I1147/0.75</f>
        <v>370666.6666666667</v>
      </c>
    </row>
    <row r="1148" spans="1:10" ht="45">
      <c r="A1148" s="3" t="s">
        <v>807</v>
      </c>
      <c r="B1148" s="66">
        <v>2</v>
      </c>
      <c r="C1148" s="8">
        <v>1</v>
      </c>
      <c r="D1148" s="3" t="s">
        <v>482</v>
      </c>
      <c r="E1148" s="3" t="s">
        <v>250</v>
      </c>
      <c r="F1148" s="3" t="s">
        <v>567</v>
      </c>
      <c r="G1148" s="8" t="s">
        <v>984</v>
      </c>
      <c r="H1148" s="8" t="s">
        <v>423</v>
      </c>
      <c r="I1148" s="67">
        <v>100000</v>
      </c>
      <c r="J1148" s="67">
        <f t="shared" si="35"/>
        <v>133333.33333333334</v>
      </c>
    </row>
    <row r="1149" spans="1:10" ht="45">
      <c r="A1149" s="3" t="s">
        <v>807</v>
      </c>
      <c r="B1149" s="66">
        <v>2</v>
      </c>
      <c r="C1149" s="8">
        <v>1</v>
      </c>
      <c r="D1149" s="3" t="s">
        <v>482</v>
      </c>
      <c r="E1149" s="3" t="s">
        <v>250</v>
      </c>
      <c r="F1149" s="3" t="s">
        <v>786</v>
      </c>
      <c r="G1149" s="8" t="s">
        <v>983</v>
      </c>
      <c r="H1149" s="8" t="s">
        <v>423</v>
      </c>
      <c r="I1149" s="67">
        <v>144900</v>
      </c>
      <c r="J1149" s="67">
        <f t="shared" si="35"/>
        <v>193200</v>
      </c>
    </row>
    <row r="1150" spans="1:10" ht="45">
      <c r="A1150" s="3" t="s">
        <v>807</v>
      </c>
      <c r="B1150" s="66">
        <v>2</v>
      </c>
      <c r="C1150" s="8">
        <v>1</v>
      </c>
      <c r="D1150" s="3" t="s">
        <v>482</v>
      </c>
      <c r="E1150" s="3" t="s">
        <v>250</v>
      </c>
      <c r="F1150" s="3" t="s">
        <v>743</v>
      </c>
      <c r="G1150" s="8" t="s">
        <v>983</v>
      </c>
      <c r="H1150" s="8" t="s">
        <v>423</v>
      </c>
      <c r="I1150" s="67">
        <v>79680</v>
      </c>
      <c r="J1150" s="67">
        <f t="shared" si="35"/>
        <v>106240</v>
      </c>
    </row>
    <row r="1151" spans="1:10" ht="45">
      <c r="A1151" s="3" t="s">
        <v>807</v>
      </c>
      <c r="B1151" s="66">
        <v>2</v>
      </c>
      <c r="C1151" s="8">
        <v>1</v>
      </c>
      <c r="D1151" s="3" t="s">
        <v>482</v>
      </c>
      <c r="E1151" s="3" t="s">
        <v>250</v>
      </c>
      <c r="F1151" s="3" t="s">
        <v>293</v>
      </c>
      <c r="G1151" s="8" t="s">
        <v>983</v>
      </c>
      <c r="H1151" s="8" t="s">
        <v>423</v>
      </c>
      <c r="I1151" s="67">
        <v>102120</v>
      </c>
      <c r="J1151" s="67">
        <f t="shared" si="35"/>
        <v>136160</v>
      </c>
    </row>
    <row r="1152" spans="1:10" ht="45">
      <c r="A1152" s="3" t="s">
        <v>807</v>
      </c>
      <c r="B1152" s="66">
        <v>2</v>
      </c>
      <c r="C1152" s="8">
        <v>1</v>
      </c>
      <c r="D1152" s="3" t="s">
        <v>482</v>
      </c>
      <c r="E1152" s="3" t="s">
        <v>250</v>
      </c>
      <c r="F1152" s="3" t="s">
        <v>648</v>
      </c>
      <c r="G1152" s="8" t="s">
        <v>984</v>
      </c>
      <c r="H1152" s="8" t="s">
        <v>423</v>
      </c>
      <c r="I1152" s="67">
        <v>108255</v>
      </c>
      <c r="J1152" s="67">
        <f t="shared" si="35"/>
        <v>144340</v>
      </c>
    </row>
    <row r="1153" spans="1:10" ht="45">
      <c r="A1153" s="3" t="s">
        <v>807</v>
      </c>
      <c r="B1153" s="66">
        <v>2</v>
      </c>
      <c r="C1153" s="8">
        <v>1</v>
      </c>
      <c r="D1153" s="3" t="s">
        <v>482</v>
      </c>
      <c r="E1153" s="3" t="s">
        <v>250</v>
      </c>
      <c r="F1153" s="3" t="s">
        <v>285</v>
      </c>
      <c r="G1153" s="8" t="s">
        <v>984</v>
      </c>
      <c r="H1153" s="8" t="s">
        <v>423</v>
      </c>
      <c r="I1153" s="67">
        <v>95700</v>
      </c>
      <c r="J1153" s="67">
        <f t="shared" si="35"/>
        <v>127600</v>
      </c>
    </row>
    <row r="1154" spans="1:10" ht="45">
      <c r="A1154" s="3" t="s">
        <v>807</v>
      </c>
      <c r="B1154" s="66">
        <v>2</v>
      </c>
      <c r="C1154" s="8">
        <v>1</v>
      </c>
      <c r="D1154" s="3" t="s">
        <v>482</v>
      </c>
      <c r="E1154" s="3" t="s">
        <v>250</v>
      </c>
      <c r="F1154" s="3" t="s">
        <v>722</v>
      </c>
      <c r="G1154" s="8" t="s">
        <v>984</v>
      </c>
      <c r="H1154" s="8" t="s">
        <v>423</v>
      </c>
      <c r="I1154" s="67">
        <v>125748</v>
      </c>
      <c r="J1154" s="67">
        <f t="shared" si="35"/>
        <v>167664</v>
      </c>
    </row>
    <row r="1155" spans="1:10" ht="45">
      <c r="A1155" s="24" t="s">
        <v>807</v>
      </c>
      <c r="B1155" s="6">
        <v>2</v>
      </c>
      <c r="C1155" s="6">
        <v>1</v>
      </c>
      <c r="D1155" s="7" t="s">
        <v>482</v>
      </c>
      <c r="E1155" s="24" t="s">
        <v>250</v>
      </c>
      <c r="F1155" s="24"/>
      <c r="G1155" s="6"/>
      <c r="H1155" s="6"/>
      <c r="I1155" s="13">
        <f>SUBTOTAL(9,I1147:I1154)</f>
        <v>1034403</v>
      </c>
      <c r="J1155" s="13">
        <f>SUBTOTAL(9,J1147:J1154)</f>
        <v>1379204</v>
      </c>
    </row>
    <row r="1156" spans="1:10" ht="33.75">
      <c r="A1156" s="3" t="s">
        <v>564</v>
      </c>
      <c r="B1156" s="66">
        <v>2</v>
      </c>
      <c r="C1156" s="8">
        <v>4</v>
      </c>
      <c r="D1156" s="3" t="s">
        <v>483</v>
      </c>
      <c r="E1156" s="3" t="s">
        <v>484</v>
      </c>
      <c r="F1156" s="3" t="s">
        <v>1014</v>
      </c>
      <c r="G1156" s="8" t="s">
        <v>983</v>
      </c>
      <c r="H1156" s="8" t="s">
        <v>423</v>
      </c>
      <c r="I1156" s="68">
        <f>0+229857.17</f>
        <v>229857.17</v>
      </c>
      <c r="J1156" s="68">
        <f aca="true" t="shared" si="36" ref="J1156:J1162">I1156/0.75</f>
        <v>306476.2266666667</v>
      </c>
    </row>
    <row r="1157" spans="1:10" ht="33.75">
      <c r="A1157" s="3" t="s">
        <v>564</v>
      </c>
      <c r="B1157" s="66">
        <v>2</v>
      </c>
      <c r="C1157" s="8">
        <v>4</v>
      </c>
      <c r="D1157" s="3" t="s">
        <v>483</v>
      </c>
      <c r="E1157" s="3" t="s">
        <v>484</v>
      </c>
      <c r="F1157" s="3" t="s">
        <v>486</v>
      </c>
      <c r="G1157" s="8" t="s">
        <v>983</v>
      </c>
      <c r="H1157" s="8" t="s">
        <v>423</v>
      </c>
      <c r="I1157" s="68">
        <f>513251.63-161063-78750</f>
        <v>273438.63</v>
      </c>
      <c r="J1157" s="68">
        <f t="shared" si="36"/>
        <v>364584.84</v>
      </c>
    </row>
    <row r="1158" spans="1:10" ht="33.75">
      <c r="A1158" s="3" t="s">
        <v>564</v>
      </c>
      <c r="B1158" s="66">
        <v>2</v>
      </c>
      <c r="C1158" s="8">
        <v>4</v>
      </c>
      <c r="D1158" s="3" t="s">
        <v>483</v>
      </c>
      <c r="E1158" s="3" t="s">
        <v>484</v>
      </c>
      <c r="F1158" s="3" t="s">
        <v>487</v>
      </c>
      <c r="G1158" s="8" t="s">
        <v>983</v>
      </c>
      <c r="H1158" s="8" t="s">
        <v>423</v>
      </c>
      <c r="I1158" s="68">
        <f>957937.01-379857.17+45000</f>
        <v>623079.8400000001</v>
      </c>
      <c r="J1158" s="68">
        <f t="shared" si="36"/>
        <v>830773.1200000001</v>
      </c>
    </row>
    <row r="1159" spans="1:10" ht="33.75">
      <c r="A1159" s="3" t="s">
        <v>564</v>
      </c>
      <c r="B1159" s="66">
        <v>2</v>
      </c>
      <c r="C1159" s="8">
        <v>4</v>
      </c>
      <c r="D1159" s="3" t="s">
        <v>483</v>
      </c>
      <c r="E1159" s="3" t="s">
        <v>484</v>
      </c>
      <c r="F1159" s="3" t="s">
        <v>354</v>
      </c>
      <c r="G1159" s="8" t="s">
        <v>984</v>
      </c>
      <c r="H1159" s="8" t="s">
        <v>423</v>
      </c>
      <c r="I1159" s="68">
        <v>109558.69</v>
      </c>
      <c r="J1159" s="68">
        <f t="shared" si="36"/>
        <v>146078.25333333333</v>
      </c>
    </row>
    <row r="1160" spans="1:10" ht="33.75">
      <c r="A1160" s="3" t="s">
        <v>564</v>
      </c>
      <c r="B1160" s="66">
        <v>2</v>
      </c>
      <c r="C1160" s="8">
        <v>4</v>
      </c>
      <c r="D1160" s="3" t="s">
        <v>483</v>
      </c>
      <c r="E1160" s="3" t="s">
        <v>484</v>
      </c>
      <c r="F1160" s="3" t="s">
        <v>352</v>
      </c>
      <c r="G1160" s="8" t="s">
        <v>984</v>
      </c>
      <c r="H1160" s="8" t="s">
        <v>423</v>
      </c>
      <c r="I1160" s="68">
        <v>130000</v>
      </c>
      <c r="J1160" s="68">
        <f t="shared" si="36"/>
        <v>173333.33333333334</v>
      </c>
    </row>
    <row r="1161" spans="1:10" ht="33.75">
      <c r="A1161" s="3" t="s">
        <v>564</v>
      </c>
      <c r="B1161" s="66">
        <v>2</v>
      </c>
      <c r="C1161" s="8">
        <v>4</v>
      </c>
      <c r="D1161" s="3" t="s">
        <v>483</v>
      </c>
      <c r="E1161" s="3" t="s">
        <v>484</v>
      </c>
      <c r="F1161" s="3" t="s">
        <v>353</v>
      </c>
      <c r="G1161" s="8" t="s">
        <v>984</v>
      </c>
      <c r="H1161" s="8" t="s">
        <v>423</v>
      </c>
      <c r="I1161" s="68">
        <v>127500</v>
      </c>
      <c r="J1161" s="68">
        <f t="shared" si="36"/>
        <v>170000</v>
      </c>
    </row>
    <row r="1162" spans="1:10" ht="33.75">
      <c r="A1162" s="3" t="s">
        <v>564</v>
      </c>
      <c r="B1162" s="66">
        <v>2</v>
      </c>
      <c r="C1162" s="8">
        <v>4</v>
      </c>
      <c r="D1162" s="3" t="s">
        <v>483</v>
      </c>
      <c r="E1162" s="3" t="s">
        <v>484</v>
      </c>
      <c r="F1162" s="4" t="s">
        <v>716</v>
      </c>
      <c r="G1162" s="8" t="s">
        <v>984</v>
      </c>
      <c r="H1162" s="8" t="s">
        <v>330</v>
      </c>
      <c r="I1162" s="67">
        <v>50000</v>
      </c>
      <c r="J1162" s="67">
        <f t="shared" si="36"/>
        <v>66666.66666666667</v>
      </c>
    </row>
    <row r="1163" spans="1:10" ht="33.75">
      <c r="A1163" s="24" t="s">
        <v>564</v>
      </c>
      <c r="B1163" s="6">
        <v>2</v>
      </c>
      <c r="C1163" s="6">
        <v>4</v>
      </c>
      <c r="D1163" s="7" t="s">
        <v>483</v>
      </c>
      <c r="E1163" s="24" t="s">
        <v>484</v>
      </c>
      <c r="F1163" s="24"/>
      <c r="G1163" s="6"/>
      <c r="H1163" s="6"/>
      <c r="I1163" s="13">
        <f>SUBTOTAL(9,I1156:I1162)</f>
        <v>1543434.33</v>
      </c>
      <c r="J1163" s="13">
        <f>SUBTOTAL(9,J1156:J1162)</f>
        <v>2057912.4400000002</v>
      </c>
    </row>
    <row r="1164" spans="1:10" ht="33.75">
      <c r="A1164" s="3" t="s">
        <v>564</v>
      </c>
      <c r="B1164" s="66">
        <v>2</v>
      </c>
      <c r="C1164" s="8">
        <v>2</v>
      </c>
      <c r="D1164" s="3" t="s">
        <v>489</v>
      </c>
      <c r="E1164" s="3" t="s">
        <v>490</v>
      </c>
      <c r="F1164" s="3" t="s">
        <v>1013</v>
      </c>
      <c r="G1164" s="8" t="s">
        <v>983</v>
      </c>
      <c r="H1164" s="8" t="s">
        <v>423</v>
      </c>
      <c r="I1164" s="67">
        <v>574103.75</v>
      </c>
      <c r="J1164" s="67">
        <f aca="true" t="shared" si="37" ref="J1164:J1173">I1164/0.75</f>
        <v>765471.6666666666</v>
      </c>
    </row>
    <row r="1165" spans="1:10" ht="33.75">
      <c r="A1165" s="3" t="s">
        <v>564</v>
      </c>
      <c r="B1165" s="66">
        <v>2</v>
      </c>
      <c r="C1165" s="8">
        <v>2</v>
      </c>
      <c r="D1165" s="3" t="s">
        <v>489</v>
      </c>
      <c r="E1165" s="3" t="s">
        <v>490</v>
      </c>
      <c r="F1165" s="3" t="s">
        <v>467</v>
      </c>
      <c r="G1165" s="8" t="s">
        <v>983</v>
      </c>
      <c r="H1165" s="8" t="s">
        <v>423</v>
      </c>
      <c r="I1165" s="67">
        <v>156356.25</v>
      </c>
      <c r="J1165" s="67">
        <f t="shared" si="37"/>
        <v>208475</v>
      </c>
    </row>
    <row r="1166" spans="1:10" ht="33.75">
      <c r="A1166" s="3" t="s">
        <v>564</v>
      </c>
      <c r="B1166" s="66">
        <v>2</v>
      </c>
      <c r="C1166" s="8">
        <v>2</v>
      </c>
      <c r="D1166" s="3" t="s">
        <v>489</v>
      </c>
      <c r="E1166" s="3" t="s">
        <v>490</v>
      </c>
      <c r="F1166" s="3" t="s">
        <v>351</v>
      </c>
      <c r="G1166" s="8" t="s">
        <v>983</v>
      </c>
      <c r="H1166" s="8" t="s">
        <v>423</v>
      </c>
      <c r="I1166" s="67">
        <v>858897</v>
      </c>
      <c r="J1166" s="67">
        <f t="shared" si="37"/>
        <v>1145196</v>
      </c>
    </row>
    <row r="1167" spans="1:10" ht="33.75">
      <c r="A1167" s="3" t="s">
        <v>564</v>
      </c>
      <c r="B1167" s="66">
        <v>2</v>
      </c>
      <c r="C1167" s="8">
        <v>2</v>
      </c>
      <c r="D1167" s="3" t="s">
        <v>489</v>
      </c>
      <c r="E1167" s="3" t="s">
        <v>490</v>
      </c>
      <c r="F1167" s="3" t="s">
        <v>488</v>
      </c>
      <c r="G1167" s="8" t="s">
        <v>984</v>
      </c>
      <c r="H1167" s="8" t="s">
        <v>423</v>
      </c>
      <c r="I1167" s="67">
        <v>48875.18</v>
      </c>
      <c r="J1167" s="67">
        <f t="shared" si="37"/>
        <v>65166.90666666667</v>
      </c>
    </row>
    <row r="1168" spans="1:10" ht="33.75">
      <c r="A1168" s="3" t="s">
        <v>564</v>
      </c>
      <c r="B1168" s="66">
        <v>2</v>
      </c>
      <c r="C1168" s="8">
        <v>2</v>
      </c>
      <c r="D1168" s="3" t="s">
        <v>489</v>
      </c>
      <c r="E1168" s="3" t="s">
        <v>490</v>
      </c>
      <c r="F1168" s="3" t="s">
        <v>352</v>
      </c>
      <c r="G1168" s="8" t="s">
        <v>984</v>
      </c>
      <c r="H1168" s="8" t="s">
        <v>423</v>
      </c>
      <c r="I1168" s="67">
        <v>105000</v>
      </c>
      <c r="J1168" s="67">
        <f t="shared" si="37"/>
        <v>140000</v>
      </c>
    </row>
    <row r="1169" spans="1:10" ht="33.75">
      <c r="A1169" s="3" t="s">
        <v>564</v>
      </c>
      <c r="B1169" s="66">
        <v>2</v>
      </c>
      <c r="C1169" s="8">
        <v>2</v>
      </c>
      <c r="D1169" s="3" t="s">
        <v>489</v>
      </c>
      <c r="E1169" s="3" t="s">
        <v>490</v>
      </c>
      <c r="F1169" s="3" t="s">
        <v>353</v>
      </c>
      <c r="G1169" s="8" t="s">
        <v>984</v>
      </c>
      <c r="H1169" s="8" t="s">
        <v>423</v>
      </c>
      <c r="I1169" s="67">
        <v>150000</v>
      </c>
      <c r="J1169" s="67">
        <f t="shared" si="37"/>
        <v>200000</v>
      </c>
    </row>
    <row r="1170" spans="1:10" ht="33.75">
      <c r="A1170" s="3" t="s">
        <v>564</v>
      </c>
      <c r="B1170" s="66">
        <v>2</v>
      </c>
      <c r="C1170" s="8">
        <v>2</v>
      </c>
      <c r="D1170" s="3" t="s">
        <v>489</v>
      </c>
      <c r="E1170" s="3" t="s">
        <v>490</v>
      </c>
      <c r="F1170" s="3" t="s">
        <v>276</v>
      </c>
      <c r="G1170" s="8" t="s">
        <v>984</v>
      </c>
      <c r="H1170" s="8" t="s">
        <v>423</v>
      </c>
      <c r="I1170" s="67">
        <v>50000</v>
      </c>
      <c r="J1170" s="67">
        <f t="shared" si="37"/>
        <v>66666.66666666667</v>
      </c>
    </row>
    <row r="1171" spans="1:10" ht="33.75">
      <c r="A1171" s="3" t="s">
        <v>564</v>
      </c>
      <c r="B1171" s="66">
        <v>2</v>
      </c>
      <c r="C1171" s="8">
        <v>2</v>
      </c>
      <c r="D1171" s="3" t="s">
        <v>489</v>
      </c>
      <c r="E1171" s="3" t="s">
        <v>490</v>
      </c>
      <c r="F1171" s="3" t="s">
        <v>355</v>
      </c>
      <c r="G1171" s="8" t="s">
        <v>984</v>
      </c>
      <c r="H1171" s="8" t="s">
        <v>423</v>
      </c>
      <c r="I1171" s="67">
        <v>400000</v>
      </c>
      <c r="J1171" s="67">
        <f t="shared" si="37"/>
        <v>533333.3333333334</v>
      </c>
    </row>
    <row r="1172" spans="1:10" ht="33.75">
      <c r="A1172" s="3" t="s">
        <v>564</v>
      </c>
      <c r="B1172" s="66">
        <v>2</v>
      </c>
      <c r="C1172" s="8">
        <v>2</v>
      </c>
      <c r="D1172" s="3" t="s">
        <v>489</v>
      </c>
      <c r="E1172" s="3" t="s">
        <v>490</v>
      </c>
      <c r="F1172" s="4" t="s">
        <v>716</v>
      </c>
      <c r="G1172" s="8" t="s">
        <v>984</v>
      </c>
      <c r="H1172" s="8" t="s">
        <v>330</v>
      </c>
      <c r="I1172" s="67">
        <v>30000</v>
      </c>
      <c r="J1172" s="67">
        <f t="shared" si="37"/>
        <v>40000</v>
      </c>
    </row>
    <row r="1173" spans="1:10" ht="33.75">
      <c r="A1173" s="3" t="s">
        <v>564</v>
      </c>
      <c r="B1173" s="66">
        <v>2</v>
      </c>
      <c r="C1173" s="8">
        <v>2</v>
      </c>
      <c r="D1173" s="3" t="s">
        <v>489</v>
      </c>
      <c r="E1173" s="3" t="s">
        <v>490</v>
      </c>
      <c r="F1173" s="3" t="s">
        <v>655</v>
      </c>
      <c r="G1173" s="8" t="s">
        <v>984</v>
      </c>
      <c r="H1173" s="8" t="s">
        <v>423</v>
      </c>
      <c r="I1173" s="67">
        <v>50000</v>
      </c>
      <c r="J1173" s="67">
        <f t="shared" si="37"/>
        <v>66666.66666666667</v>
      </c>
    </row>
    <row r="1174" spans="1:10" ht="33.75">
      <c r="A1174" s="24" t="s">
        <v>564</v>
      </c>
      <c r="B1174" s="6">
        <v>2</v>
      </c>
      <c r="C1174" s="6">
        <v>2</v>
      </c>
      <c r="D1174" s="7" t="s">
        <v>489</v>
      </c>
      <c r="E1174" s="24" t="s">
        <v>490</v>
      </c>
      <c r="F1174" s="24"/>
      <c r="G1174" s="6"/>
      <c r="H1174" s="6"/>
      <c r="I1174" s="13">
        <f>SUBTOTAL(9,I1164:I1173)</f>
        <v>2423232.1799999997</v>
      </c>
      <c r="J1174" s="13">
        <f>SUBTOTAL(9,J1164:J1173)</f>
        <v>3230976.2399999998</v>
      </c>
    </row>
    <row r="1175" spans="1:10" ht="33.75">
      <c r="A1175" s="3" t="s">
        <v>562</v>
      </c>
      <c r="B1175" s="66">
        <v>2</v>
      </c>
      <c r="C1175" s="8">
        <v>4</v>
      </c>
      <c r="D1175" s="3" t="s">
        <v>468</v>
      </c>
      <c r="E1175" s="3" t="s">
        <v>665</v>
      </c>
      <c r="F1175" s="3" t="s">
        <v>671</v>
      </c>
      <c r="G1175" s="8" t="s">
        <v>984</v>
      </c>
      <c r="H1175" s="8" t="s">
        <v>423</v>
      </c>
      <c r="I1175" s="67">
        <v>84069.33</v>
      </c>
      <c r="J1175" s="67">
        <f>I1175/0.75</f>
        <v>112092.44</v>
      </c>
    </row>
    <row r="1176" spans="1:10" ht="33.75">
      <c r="A1176" s="3" t="s">
        <v>562</v>
      </c>
      <c r="B1176" s="66">
        <v>2</v>
      </c>
      <c r="C1176" s="8">
        <v>4</v>
      </c>
      <c r="D1176" s="3" t="s">
        <v>468</v>
      </c>
      <c r="E1176" s="3" t="s">
        <v>665</v>
      </c>
      <c r="F1176" s="3" t="s">
        <v>550</v>
      </c>
      <c r="G1176" s="8" t="s">
        <v>983</v>
      </c>
      <c r="H1176" s="8" t="s">
        <v>423</v>
      </c>
      <c r="I1176" s="67">
        <v>131250</v>
      </c>
      <c r="J1176" s="67">
        <f>I1176/0.75</f>
        <v>175000</v>
      </c>
    </row>
    <row r="1177" spans="1:10" ht="33.75">
      <c r="A1177" s="3" t="s">
        <v>562</v>
      </c>
      <c r="B1177" s="66">
        <v>2</v>
      </c>
      <c r="C1177" s="8">
        <v>4</v>
      </c>
      <c r="D1177" s="3" t="s">
        <v>468</v>
      </c>
      <c r="E1177" s="3" t="s">
        <v>665</v>
      </c>
      <c r="F1177" s="4" t="s">
        <v>551</v>
      </c>
      <c r="G1177" s="8" t="s">
        <v>984</v>
      </c>
      <c r="H1177" s="8" t="s">
        <v>330</v>
      </c>
      <c r="I1177" s="67">
        <v>137000</v>
      </c>
      <c r="J1177" s="67">
        <f>I1177/0.75</f>
        <v>182666.66666666666</v>
      </c>
    </row>
    <row r="1178" spans="1:10" ht="33.75">
      <c r="A1178" s="24" t="s">
        <v>562</v>
      </c>
      <c r="B1178" s="6">
        <v>2</v>
      </c>
      <c r="C1178" s="6">
        <v>4</v>
      </c>
      <c r="D1178" s="7" t="s">
        <v>468</v>
      </c>
      <c r="E1178" s="24" t="s">
        <v>665</v>
      </c>
      <c r="F1178" s="24"/>
      <c r="G1178" s="6"/>
      <c r="H1178" s="6"/>
      <c r="I1178" s="13">
        <f>SUBTOTAL(9,I1175:I1177)</f>
        <v>352319.33</v>
      </c>
      <c r="J1178" s="13">
        <f>SUBTOTAL(9,J1175:J1177)</f>
        <v>469759.1066666667</v>
      </c>
    </row>
    <row r="1179" spans="1:10" ht="33.75">
      <c r="A1179" s="3" t="s">
        <v>563</v>
      </c>
      <c r="B1179" s="66">
        <v>2</v>
      </c>
      <c r="C1179" s="8">
        <v>4</v>
      </c>
      <c r="D1179" s="3" t="s">
        <v>463</v>
      </c>
      <c r="E1179" s="3" t="s">
        <v>464</v>
      </c>
      <c r="F1179" s="3" t="s">
        <v>465</v>
      </c>
      <c r="G1179" s="8" t="s">
        <v>983</v>
      </c>
      <c r="H1179" s="8" t="s">
        <v>423</v>
      </c>
      <c r="I1179" s="67">
        <v>58599.45</v>
      </c>
      <c r="J1179" s="67">
        <f>I1179/0.75</f>
        <v>78132.59999999999</v>
      </c>
    </row>
    <row r="1180" spans="1:10" ht="33.75">
      <c r="A1180" s="3" t="s">
        <v>563</v>
      </c>
      <c r="B1180" s="66">
        <v>2</v>
      </c>
      <c r="C1180" s="8">
        <v>4</v>
      </c>
      <c r="D1180" s="3" t="s">
        <v>463</v>
      </c>
      <c r="E1180" s="3" t="s">
        <v>464</v>
      </c>
      <c r="F1180" s="4" t="s">
        <v>553</v>
      </c>
      <c r="G1180" s="8" t="s">
        <v>984</v>
      </c>
      <c r="H1180" s="8" t="s">
        <v>330</v>
      </c>
      <c r="I1180" s="67">
        <v>150000</v>
      </c>
      <c r="J1180" s="67">
        <f>I1180/0.75</f>
        <v>200000</v>
      </c>
    </row>
    <row r="1181" spans="1:10" ht="33.75">
      <c r="A1181" s="3" t="s">
        <v>563</v>
      </c>
      <c r="B1181" s="66">
        <v>2</v>
      </c>
      <c r="C1181" s="8">
        <v>4</v>
      </c>
      <c r="D1181" s="3" t="s">
        <v>463</v>
      </c>
      <c r="E1181" s="3" t="s">
        <v>464</v>
      </c>
      <c r="F1181" s="3" t="s">
        <v>466</v>
      </c>
      <c r="G1181" s="8" t="s">
        <v>984</v>
      </c>
      <c r="H1181" s="8" t="s">
        <v>423</v>
      </c>
      <c r="I1181" s="67">
        <v>16019.42</v>
      </c>
      <c r="J1181" s="67">
        <f>I1181/0.75</f>
        <v>21359.226666666666</v>
      </c>
    </row>
    <row r="1182" spans="1:10" ht="33.75">
      <c r="A1182" s="24" t="s">
        <v>563</v>
      </c>
      <c r="B1182" s="6">
        <v>2</v>
      </c>
      <c r="C1182" s="6">
        <v>4</v>
      </c>
      <c r="D1182" s="7" t="s">
        <v>463</v>
      </c>
      <c r="E1182" s="24" t="s">
        <v>464</v>
      </c>
      <c r="F1182" s="24"/>
      <c r="G1182" s="6"/>
      <c r="H1182" s="6"/>
      <c r="I1182" s="13">
        <f>SUBTOTAL(9,I1179:I1181)</f>
        <v>224618.87000000002</v>
      </c>
      <c r="J1182" s="13">
        <f>SUBTOTAL(9,J1179:J1181)</f>
        <v>299491.82666666666</v>
      </c>
    </row>
    <row r="1183" spans="1:10" ht="33.75">
      <c r="A1183" s="3" t="s">
        <v>807</v>
      </c>
      <c r="B1183" s="66">
        <v>2</v>
      </c>
      <c r="C1183" s="8">
        <v>2</v>
      </c>
      <c r="D1183" s="3" t="s">
        <v>804</v>
      </c>
      <c r="E1183" s="3" t="s">
        <v>334</v>
      </c>
      <c r="F1183" s="3" t="s">
        <v>259</v>
      </c>
      <c r="G1183" s="8"/>
      <c r="H1183" s="8"/>
      <c r="I1183" s="68">
        <v>970031.58</v>
      </c>
      <c r="J1183" s="68">
        <f aca="true" t="shared" si="38" ref="J1183:J1192">I1183/0.75</f>
        <v>1293375.44</v>
      </c>
    </row>
    <row r="1184" spans="1:10" ht="33.75">
      <c r="A1184" s="3" t="s">
        <v>807</v>
      </c>
      <c r="B1184" s="66">
        <v>2</v>
      </c>
      <c r="C1184" s="8">
        <v>2</v>
      </c>
      <c r="D1184" s="3" t="s">
        <v>804</v>
      </c>
      <c r="E1184" s="3" t="s">
        <v>334</v>
      </c>
      <c r="F1184" s="3" t="s">
        <v>619</v>
      </c>
      <c r="G1184" s="8" t="s">
        <v>983</v>
      </c>
      <c r="H1184" s="8" t="s">
        <v>423</v>
      </c>
      <c r="I1184" s="67">
        <v>78093.02</v>
      </c>
      <c r="J1184" s="67">
        <f t="shared" si="38"/>
        <v>104124.02666666667</v>
      </c>
    </row>
    <row r="1185" spans="1:10" ht="33.75">
      <c r="A1185" s="3" t="s">
        <v>807</v>
      </c>
      <c r="B1185" s="66">
        <v>2</v>
      </c>
      <c r="C1185" s="8">
        <v>2</v>
      </c>
      <c r="D1185" s="3" t="s">
        <v>804</v>
      </c>
      <c r="E1185" s="3" t="s">
        <v>334</v>
      </c>
      <c r="F1185" s="3" t="s">
        <v>419</v>
      </c>
      <c r="G1185" s="8" t="s">
        <v>984</v>
      </c>
      <c r="H1185" s="8" t="s">
        <v>423</v>
      </c>
      <c r="I1185" s="67">
        <v>42086.25</v>
      </c>
      <c r="J1185" s="67">
        <f t="shared" si="38"/>
        <v>56115</v>
      </c>
    </row>
    <row r="1186" spans="1:10" ht="33.75">
      <c r="A1186" s="3" t="s">
        <v>807</v>
      </c>
      <c r="B1186" s="66">
        <v>2</v>
      </c>
      <c r="C1186" s="8">
        <v>2</v>
      </c>
      <c r="D1186" s="3" t="s">
        <v>804</v>
      </c>
      <c r="E1186" s="3" t="s">
        <v>334</v>
      </c>
      <c r="F1186" s="3" t="s">
        <v>701</v>
      </c>
      <c r="G1186" s="8" t="s">
        <v>984</v>
      </c>
      <c r="H1186" s="8" t="s">
        <v>423</v>
      </c>
      <c r="I1186" s="67">
        <v>42086.25</v>
      </c>
      <c r="J1186" s="67">
        <f t="shared" si="38"/>
        <v>56115</v>
      </c>
    </row>
    <row r="1187" spans="1:10" ht="33.75">
      <c r="A1187" s="3" t="s">
        <v>807</v>
      </c>
      <c r="B1187" s="66">
        <v>2</v>
      </c>
      <c r="C1187" s="8">
        <v>2</v>
      </c>
      <c r="D1187" s="3" t="s">
        <v>804</v>
      </c>
      <c r="E1187" s="3" t="s">
        <v>334</v>
      </c>
      <c r="F1187" s="3" t="s">
        <v>773</v>
      </c>
      <c r="G1187" s="8" t="s">
        <v>984</v>
      </c>
      <c r="H1187" s="8" t="s">
        <v>423</v>
      </c>
      <c r="I1187" s="67">
        <v>10000</v>
      </c>
      <c r="J1187" s="67">
        <f t="shared" si="38"/>
        <v>13333.333333333334</v>
      </c>
    </row>
    <row r="1188" spans="1:10" ht="33.75">
      <c r="A1188" s="3" t="s">
        <v>807</v>
      </c>
      <c r="B1188" s="66">
        <v>2</v>
      </c>
      <c r="C1188" s="8">
        <v>2</v>
      </c>
      <c r="D1188" s="3" t="s">
        <v>804</v>
      </c>
      <c r="E1188" s="3" t="s">
        <v>334</v>
      </c>
      <c r="F1188" s="3" t="s">
        <v>461</v>
      </c>
      <c r="G1188" s="8" t="s">
        <v>984</v>
      </c>
      <c r="H1188" s="8" t="s">
        <v>423</v>
      </c>
      <c r="I1188" s="67">
        <v>42086.25</v>
      </c>
      <c r="J1188" s="67">
        <f t="shared" si="38"/>
        <v>56115</v>
      </c>
    </row>
    <row r="1189" spans="1:10" ht="33.75">
      <c r="A1189" s="3" t="s">
        <v>807</v>
      </c>
      <c r="B1189" s="66">
        <v>2</v>
      </c>
      <c r="C1189" s="8">
        <v>2</v>
      </c>
      <c r="D1189" s="3" t="s">
        <v>804</v>
      </c>
      <c r="E1189" s="3" t="s">
        <v>334</v>
      </c>
      <c r="F1189" s="4" t="s">
        <v>636</v>
      </c>
      <c r="G1189" s="8" t="s">
        <v>984</v>
      </c>
      <c r="H1189" s="8" t="s">
        <v>330</v>
      </c>
      <c r="I1189" s="67">
        <v>45000</v>
      </c>
      <c r="J1189" s="67">
        <f t="shared" si="38"/>
        <v>60000</v>
      </c>
    </row>
    <row r="1190" spans="1:10" ht="33.75">
      <c r="A1190" s="3" t="s">
        <v>807</v>
      </c>
      <c r="B1190" s="66">
        <v>2</v>
      </c>
      <c r="C1190" s="8">
        <v>2</v>
      </c>
      <c r="D1190" s="3" t="s">
        <v>804</v>
      </c>
      <c r="E1190" s="3" t="s">
        <v>334</v>
      </c>
      <c r="F1190" s="3" t="s">
        <v>796</v>
      </c>
      <c r="G1190" s="8" t="s">
        <v>984</v>
      </c>
      <c r="H1190" s="8" t="s">
        <v>423</v>
      </c>
      <c r="I1190" s="67">
        <v>39000</v>
      </c>
      <c r="J1190" s="67">
        <f t="shared" si="38"/>
        <v>52000</v>
      </c>
    </row>
    <row r="1191" spans="1:10" ht="33.75">
      <c r="A1191" s="3" t="s">
        <v>807</v>
      </c>
      <c r="B1191" s="66">
        <v>2</v>
      </c>
      <c r="C1191" s="8">
        <v>2</v>
      </c>
      <c r="D1191" s="3" t="s">
        <v>804</v>
      </c>
      <c r="E1191" s="3" t="s">
        <v>334</v>
      </c>
      <c r="F1191" s="3" t="s">
        <v>462</v>
      </c>
      <c r="G1191" s="8" t="s">
        <v>984</v>
      </c>
      <c r="H1191" s="8" t="s">
        <v>423</v>
      </c>
      <c r="I1191" s="67">
        <v>42086.25</v>
      </c>
      <c r="J1191" s="67">
        <f t="shared" si="38"/>
        <v>56115</v>
      </c>
    </row>
    <row r="1192" spans="1:10" ht="33.75">
      <c r="A1192" s="3" t="s">
        <v>807</v>
      </c>
      <c r="B1192" s="66">
        <v>2</v>
      </c>
      <c r="C1192" s="8">
        <v>2</v>
      </c>
      <c r="D1192" s="3" t="s">
        <v>804</v>
      </c>
      <c r="E1192" s="3" t="s">
        <v>334</v>
      </c>
      <c r="F1192" s="3" t="s">
        <v>335</v>
      </c>
      <c r="G1192" s="8" t="s">
        <v>984</v>
      </c>
      <c r="H1192" s="8" t="s">
        <v>423</v>
      </c>
      <c r="I1192" s="67">
        <v>42058.75</v>
      </c>
      <c r="J1192" s="67">
        <f t="shared" si="38"/>
        <v>56078.333333333336</v>
      </c>
    </row>
    <row r="1193" spans="1:10" ht="33.75">
      <c r="A1193" s="24" t="s">
        <v>807</v>
      </c>
      <c r="B1193" s="6">
        <v>2</v>
      </c>
      <c r="C1193" s="6">
        <v>2</v>
      </c>
      <c r="D1193" s="7" t="s">
        <v>804</v>
      </c>
      <c r="E1193" s="24" t="s">
        <v>334</v>
      </c>
      <c r="F1193" s="24"/>
      <c r="G1193" s="6"/>
      <c r="H1193" s="6"/>
      <c r="I1193" s="13">
        <f>SUBTOTAL(9,I1183:I1192)</f>
        <v>1352528.35</v>
      </c>
      <c r="J1193" s="13">
        <f>SUBTOTAL(9,J1183:J1192)</f>
        <v>1803371.133333333</v>
      </c>
    </row>
    <row r="1194" spans="1:10" ht="33.75">
      <c r="A1194" s="3" t="s">
        <v>563</v>
      </c>
      <c r="B1194" s="15">
        <v>3</v>
      </c>
      <c r="C1194" s="46">
        <v>1</v>
      </c>
      <c r="D1194" s="47" t="s">
        <v>888</v>
      </c>
      <c r="E1194" s="1" t="s">
        <v>889</v>
      </c>
      <c r="F1194" s="47" t="s">
        <v>605</v>
      </c>
      <c r="G1194" s="2" t="s">
        <v>984</v>
      </c>
      <c r="H1194" s="15" t="s">
        <v>423</v>
      </c>
      <c r="I1194" s="48">
        <v>136274.66</v>
      </c>
      <c r="J1194" s="48">
        <f aca="true" t="shared" si="39" ref="J1194:J1205">I1194/0.75</f>
        <v>181699.54666666666</v>
      </c>
    </row>
    <row r="1195" spans="1:10" ht="33.75">
      <c r="A1195" s="3" t="s">
        <v>563</v>
      </c>
      <c r="B1195" s="15">
        <v>3</v>
      </c>
      <c r="C1195" s="46">
        <v>1</v>
      </c>
      <c r="D1195" s="47" t="s">
        <v>888</v>
      </c>
      <c r="E1195" s="1" t="s">
        <v>889</v>
      </c>
      <c r="F1195" s="47" t="s">
        <v>657</v>
      </c>
      <c r="G1195" s="2" t="s">
        <v>983</v>
      </c>
      <c r="H1195" s="15" t="s">
        <v>423</v>
      </c>
      <c r="I1195" s="48">
        <v>47000</v>
      </c>
      <c r="J1195" s="48">
        <f t="shared" si="39"/>
        <v>62666.666666666664</v>
      </c>
    </row>
    <row r="1196" spans="1:10" ht="33.75">
      <c r="A1196" s="3" t="s">
        <v>563</v>
      </c>
      <c r="B1196" s="15">
        <v>3</v>
      </c>
      <c r="C1196" s="46">
        <v>1</v>
      </c>
      <c r="D1196" s="47" t="s">
        <v>888</v>
      </c>
      <c r="E1196" s="1" t="s">
        <v>889</v>
      </c>
      <c r="F1196" s="47" t="s">
        <v>362</v>
      </c>
      <c r="G1196" s="2" t="s">
        <v>983</v>
      </c>
      <c r="H1196" s="15" t="s">
        <v>423</v>
      </c>
      <c r="I1196" s="48">
        <v>29000</v>
      </c>
      <c r="J1196" s="48">
        <f t="shared" si="39"/>
        <v>38666.666666666664</v>
      </c>
    </row>
    <row r="1197" spans="1:10" ht="33.75">
      <c r="A1197" s="3" t="s">
        <v>563</v>
      </c>
      <c r="B1197" s="15">
        <v>3</v>
      </c>
      <c r="C1197" s="46">
        <v>1</v>
      </c>
      <c r="D1197" s="47" t="s">
        <v>888</v>
      </c>
      <c r="E1197" s="1" t="s">
        <v>889</v>
      </c>
      <c r="F1197" s="49" t="s">
        <v>363</v>
      </c>
      <c r="G1197" s="2" t="s">
        <v>983</v>
      </c>
      <c r="H1197" s="15" t="s">
        <v>423</v>
      </c>
      <c r="I1197" s="48">
        <v>36000</v>
      </c>
      <c r="J1197" s="48">
        <f t="shared" si="39"/>
        <v>48000</v>
      </c>
    </row>
    <row r="1198" spans="1:10" ht="33.75">
      <c r="A1198" s="3" t="s">
        <v>563</v>
      </c>
      <c r="B1198" s="15">
        <v>3</v>
      </c>
      <c r="C1198" s="46">
        <v>1</v>
      </c>
      <c r="D1198" s="47" t="s">
        <v>888</v>
      </c>
      <c r="E1198" s="1" t="s">
        <v>889</v>
      </c>
      <c r="F1198" s="49" t="s">
        <v>952</v>
      </c>
      <c r="G1198" s="2" t="s">
        <v>983</v>
      </c>
      <c r="H1198" s="15" t="s">
        <v>423</v>
      </c>
      <c r="I1198" s="48">
        <f>22000+45000</f>
        <v>67000</v>
      </c>
      <c r="J1198" s="48">
        <f t="shared" si="39"/>
        <v>89333.33333333333</v>
      </c>
    </row>
    <row r="1199" spans="1:10" ht="33.75">
      <c r="A1199" s="3" t="s">
        <v>563</v>
      </c>
      <c r="B1199" s="15">
        <v>3</v>
      </c>
      <c r="C1199" s="46">
        <v>1</v>
      </c>
      <c r="D1199" s="47" t="s">
        <v>888</v>
      </c>
      <c r="E1199" s="1" t="s">
        <v>889</v>
      </c>
      <c r="F1199" s="50" t="s">
        <v>971</v>
      </c>
      <c r="G1199" s="2" t="s">
        <v>983</v>
      </c>
      <c r="H1199" s="15" t="s">
        <v>330</v>
      </c>
      <c r="I1199" s="48">
        <f>336771.47+79000</f>
        <v>415771.47</v>
      </c>
      <c r="J1199" s="48">
        <f t="shared" si="39"/>
        <v>554361.96</v>
      </c>
    </row>
    <row r="1200" spans="1:10" ht="33.75">
      <c r="A1200" s="3" t="s">
        <v>563</v>
      </c>
      <c r="B1200" s="15">
        <v>3</v>
      </c>
      <c r="C1200" s="46">
        <v>1</v>
      </c>
      <c r="D1200" s="47" t="s">
        <v>888</v>
      </c>
      <c r="E1200" s="1" t="s">
        <v>889</v>
      </c>
      <c r="F1200" s="3" t="s">
        <v>876</v>
      </c>
      <c r="G1200" s="2" t="s">
        <v>983</v>
      </c>
      <c r="H1200" s="15" t="s">
        <v>423</v>
      </c>
      <c r="I1200" s="48">
        <v>97500</v>
      </c>
      <c r="J1200" s="48">
        <f t="shared" si="39"/>
        <v>130000</v>
      </c>
    </row>
    <row r="1201" spans="1:10" ht="33.75">
      <c r="A1201" s="3" t="s">
        <v>563</v>
      </c>
      <c r="B1201" s="15">
        <v>3</v>
      </c>
      <c r="C1201" s="46">
        <v>1</v>
      </c>
      <c r="D1201" s="47" t="s">
        <v>888</v>
      </c>
      <c r="E1201" s="1" t="s">
        <v>889</v>
      </c>
      <c r="F1201" s="49" t="s">
        <v>890</v>
      </c>
      <c r="G1201" s="2" t="s">
        <v>983</v>
      </c>
      <c r="H1201" s="15" t="s">
        <v>423</v>
      </c>
      <c r="I1201" s="48">
        <v>147052.5</v>
      </c>
      <c r="J1201" s="48">
        <f t="shared" si="39"/>
        <v>196070</v>
      </c>
    </row>
    <row r="1202" spans="1:10" ht="33.75">
      <c r="A1202" s="3" t="s">
        <v>563</v>
      </c>
      <c r="B1202" s="15">
        <v>3</v>
      </c>
      <c r="C1202" s="46">
        <v>1</v>
      </c>
      <c r="D1202" s="47" t="s">
        <v>888</v>
      </c>
      <c r="E1202" s="1" t="s">
        <v>889</v>
      </c>
      <c r="F1202" s="49" t="s">
        <v>525</v>
      </c>
      <c r="G1202" s="2" t="s">
        <v>984</v>
      </c>
      <c r="H1202" s="15" t="s">
        <v>423</v>
      </c>
      <c r="I1202" s="48">
        <f>75000+13000</f>
        <v>88000</v>
      </c>
      <c r="J1202" s="48">
        <f t="shared" si="39"/>
        <v>117333.33333333333</v>
      </c>
    </row>
    <row r="1203" spans="1:10" ht="33.75">
      <c r="A1203" s="3" t="s">
        <v>563</v>
      </c>
      <c r="B1203" s="15">
        <v>3</v>
      </c>
      <c r="C1203" s="46">
        <v>1</v>
      </c>
      <c r="D1203" s="47" t="s">
        <v>888</v>
      </c>
      <c r="E1203" s="1" t="s">
        <v>889</v>
      </c>
      <c r="F1203" s="49" t="s">
        <v>891</v>
      </c>
      <c r="G1203" s="2" t="s">
        <v>984</v>
      </c>
      <c r="H1203" s="15" t="s">
        <v>423</v>
      </c>
      <c r="I1203" s="48">
        <v>43875</v>
      </c>
      <c r="J1203" s="48">
        <f t="shared" si="39"/>
        <v>58500</v>
      </c>
    </row>
    <row r="1204" spans="1:10" ht="33.75">
      <c r="A1204" s="3" t="s">
        <v>563</v>
      </c>
      <c r="B1204" s="15">
        <v>3</v>
      </c>
      <c r="C1204" s="46">
        <v>1</v>
      </c>
      <c r="D1204" s="47" t="s">
        <v>888</v>
      </c>
      <c r="E1204" s="1" t="s">
        <v>889</v>
      </c>
      <c r="F1204" s="47" t="s">
        <v>750</v>
      </c>
      <c r="G1204" s="2" t="s">
        <v>984</v>
      </c>
      <c r="H1204" s="15" t="s">
        <v>423</v>
      </c>
      <c r="I1204" s="48">
        <v>25000</v>
      </c>
      <c r="J1204" s="48">
        <f t="shared" si="39"/>
        <v>33333.333333333336</v>
      </c>
    </row>
    <row r="1205" spans="1:10" ht="33.75">
      <c r="A1205" s="3" t="s">
        <v>563</v>
      </c>
      <c r="B1205" s="15">
        <v>3</v>
      </c>
      <c r="C1205" s="46">
        <v>1</v>
      </c>
      <c r="D1205" s="47" t="s">
        <v>888</v>
      </c>
      <c r="E1205" s="1" t="s">
        <v>889</v>
      </c>
      <c r="F1205" s="47" t="s">
        <v>752</v>
      </c>
      <c r="G1205" s="2" t="s">
        <v>984</v>
      </c>
      <c r="H1205" s="15" t="s">
        <v>423</v>
      </c>
      <c r="I1205" s="48">
        <v>9000</v>
      </c>
      <c r="J1205" s="48">
        <f t="shared" si="39"/>
        <v>12000</v>
      </c>
    </row>
    <row r="1206" spans="1:10" ht="33.75">
      <c r="A1206" s="24" t="s">
        <v>563</v>
      </c>
      <c r="B1206" s="6">
        <v>3</v>
      </c>
      <c r="C1206" s="6">
        <v>1</v>
      </c>
      <c r="D1206" s="33" t="s">
        <v>888</v>
      </c>
      <c r="E1206" s="24" t="s">
        <v>889</v>
      </c>
      <c r="F1206" s="24"/>
      <c r="G1206" s="6"/>
      <c r="H1206" s="6"/>
      <c r="I1206" s="34">
        <f>SUBTOTAL(9,I1194:I1205)</f>
        <v>1141473.63</v>
      </c>
      <c r="J1206" s="34">
        <f>SUBTOTAL(9,J1194:J1205)</f>
        <v>1521964.8399999999</v>
      </c>
    </row>
    <row r="1207" spans="1:10" ht="33.75">
      <c r="A1207" s="3" t="s">
        <v>807</v>
      </c>
      <c r="B1207" s="15">
        <v>3</v>
      </c>
      <c r="C1207" s="46">
        <v>1</v>
      </c>
      <c r="D1207" s="1" t="s">
        <v>892</v>
      </c>
      <c r="E1207" s="1" t="s">
        <v>893</v>
      </c>
      <c r="F1207" s="5" t="s">
        <v>884</v>
      </c>
      <c r="G1207" s="51" t="s">
        <v>983</v>
      </c>
      <c r="H1207" s="51" t="s">
        <v>330</v>
      </c>
      <c r="I1207" s="31">
        <v>2362500</v>
      </c>
      <c r="J1207" s="48">
        <f aca="true" t="shared" si="40" ref="J1207:J1223">I1207/0.75</f>
        <v>3150000</v>
      </c>
    </row>
    <row r="1208" spans="1:10" ht="33.75">
      <c r="A1208" s="3" t="s">
        <v>807</v>
      </c>
      <c r="B1208" s="15">
        <v>3</v>
      </c>
      <c r="C1208" s="46">
        <v>1</v>
      </c>
      <c r="D1208" s="1" t="s">
        <v>892</v>
      </c>
      <c r="E1208" s="1" t="s">
        <v>893</v>
      </c>
      <c r="F1208" s="3" t="s">
        <v>953</v>
      </c>
      <c r="G1208" s="52" t="s">
        <v>983</v>
      </c>
      <c r="H1208" s="52" t="s">
        <v>423</v>
      </c>
      <c r="I1208" s="31">
        <v>67500</v>
      </c>
      <c r="J1208" s="48">
        <f t="shared" si="40"/>
        <v>90000</v>
      </c>
    </row>
    <row r="1209" spans="1:10" ht="33.75">
      <c r="A1209" s="3" t="s">
        <v>807</v>
      </c>
      <c r="B1209" s="15">
        <v>3</v>
      </c>
      <c r="C1209" s="46">
        <v>1</v>
      </c>
      <c r="D1209" s="1" t="s">
        <v>892</v>
      </c>
      <c r="E1209" s="1" t="s">
        <v>893</v>
      </c>
      <c r="F1209" s="3" t="s">
        <v>954</v>
      </c>
      <c r="G1209" s="52" t="s">
        <v>983</v>
      </c>
      <c r="H1209" s="52" t="s">
        <v>423</v>
      </c>
      <c r="I1209" s="31">
        <v>67500</v>
      </c>
      <c r="J1209" s="48">
        <f t="shared" si="40"/>
        <v>90000</v>
      </c>
    </row>
    <row r="1210" spans="1:10" ht="33.75">
      <c r="A1210" s="3" t="s">
        <v>807</v>
      </c>
      <c r="B1210" s="15">
        <v>3</v>
      </c>
      <c r="C1210" s="46">
        <v>1</v>
      </c>
      <c r="D1210" s="1" t="s">
        <v>892</v>
      </c>
      <c r="E1210" s="1" t="s">
        <v>893</v>
      </c>
      <c r="F1210" s="3" t="s">
        <v>894</v>
      </c>
      <c r="G1210" s="52" t="s">
        <v>983</v>
      </c>
      <c r="H1210" s="52" t="s">
        <v>423</v>
      </c>
      <c r="I1210" s="31">
        <v>225000</v>
      </c>
      <c r="J1210" s="48">
        <f t="shared" si="40"/>
        <v>300000</v>
      </c>
    </row>
    <row r="1211" spans="1:10" ht="33.75">
      <c r="A1211" s="3" t="s">
        <v>807</v>
      </c>
      <c r="B1211" s="15">
        <v>3</v>
      </c>
      <c r="C1211" s="46">
        <v>1</v>
      </c>
      <c r="D1211" s="1" t="s">
        <v>892</v>
      </c>
      <c r="E1211" s="1" t="s">
        <v>893</v>
      </c>
      <c r="F1211" s="3" t="s">
        <v>444</v>
      </c>
      <c r="G1211" s="52" t="s">
        <v>983</v>
      </c>
      <c r="H1211" s="52" t="s">
        <v>423</v>
      </c>
      <c r="I1211" s="31">
        <v>157500</v>
      </c>
      <c r="J1211" s="48">
        <f t="shared" si="40"/>
        <v>210000</v>
      </c>
    </row>
    <row r="1212" spans="1:10" ht="33.75">
      <c r="A1212" s="3" t="s">
        <v>807</v>
      </c>
      <c r="B1212" s="15">
        <v>3</v>
      </c>
      <c r="C1212" s="46">
        <v>1</v>
      </c>
      <c r="D1212" s="1" t="s">
        <v>892</v>
      </c>
      <c r="E1212" s="1" t="s">
        <v>893</v>
      </c>
      <c r="F1212" s="3" t="s">
        <v>895</v>
      </c>
      <c r="G1212" s="52" t="s">
        <v>983</v>
      </c>
      <c r="H1212" s="52" t="s">
        <v>423</v>
      </c>
      <c r="I1212" s="31">
        <v>172500</v>
      </c>
      <c r="J1212" s="48">
        <f t="shared" si="40"/>
        <v>230000</v>
      </c>
    </row>
    <row r="1213" spans="1:10" ht="33.75">
      <c r="A1213" s="3" t="s">
        <v>807</v>
      </c>
      <c r="B1213" s="15">
        <v>3</v>
      </c>
      <c r="C1213" s="46">
        <v>1</v>
      </c>
      <c r="D1213" s="1" t="s">
        <v>892</v>
      </c>
      <c r="E1213" s="1" t="s">
        <v>893</v>
      </c>
      <c r="F1213" s="3" t="s">
        <v>393</v>
      </c>
      <c r="G1213" s="52" t="s">
        <v>984</v>
      </c>
      <c r="H1213" s="52" t="s">
        <v>423</v>
      </c>
      <c r="I1213" s="31">
        <v>33375</v>
      </c>
      <c r="J1213" s="48">
        <f t="shared" si="40"/>
        <v>44500</v>
      </c>
    </row>
    <row r="1214" spans="1:10" ht="33.75">
      <c r="A1214" s="3" t="s">
        <v>807</v>
      </c>
      <c r="B1214" s="15">
        <v>3</v>
      </c>
      <c r="C1214" s="46">
        <v>1</v>
      </c>
      <c r="D1214" s="1" t="s">
        <v>892</v>
      </c>
      <c r="E1214" s="1" t="s">
        <v>893</v>
      </c>
      <c r="F1214" s="3" t="s">
        <v>701</v>
      </c>
      <c r="G1214" s="52" t="s">
        <v>984</v>
      </c>
      <c r="H1214" s="52" t="s">
        <v>423</v>
      </c>
      <c r="I1214" s="31">
        <v>31125</v>
      </c>
      <c r="J1214" s="48">
        <f t="shared" si="40"/>
        <v>41500</v>
      </c>
    </row>
    <row r="1215" spans="1:10" ht="33.75">
      <c r="A1215" s="3" t="s">
        <v>807</v>
      </c>
      <c r="B1215" s="15">
        <v>3</v>
      </c>
      <c r="C1215" s="46">
        <v>1</v>
      </c>
      <c r="D1215" s="1" t="s">
        <v>892</v>
      </c>
      <c r="E1215" s="1" t="s">
        <v>893</v>
      </c>
      <c r="F1215" s="3" t="s">
        <v>773</v>
      </c>
      <c r="G1215" s="52" t="s">
        <v>984</v>
      </c>
      <c r="H1215" s="52" t="s">
        <v>423</v>
      </c>
      <c r="I1215" s="31">
        <v>46467.83</v>
      </c>
      <c r="J1215" s="48">
        <f t="shared" si="40"/>
        <v>61957.10666666667</v>
      </c>
    </row>
    <row r="1216" spans="1:10" ht="33.75">
      <c r="A1216" s="3" t="s">
        <v>807</v>
      </c>
      <c r="B1216" s="15">
        <v>3</v>
      </c>
      <c r="C1216" s="46">
        <v>1</v>
      </c>
      <c r="D1216" s="1" t="s">
        <v>892</v>
      </c>
      <c r="E1216" s="1" t="s">
        <v>893</v>
      </c>
      <c r="F1216" s="3" t="s">
        <v>461</v>
      </c>
      <c r="G1216" s="52" t="s">
        <v>984</v>
      </c>
      <c r="H1216" s="52" t="s">
        <v>423</v>
      </c>
      <c r="I1216" s="31">
        <v>29137.5</v>
      </c>
      <c r="J1216" s="48">
        <f t="shared" si="40"/>
        <v>38850</v>
      </c>
    </row>
    <row r="1217" spans="1:10" ht="33.75">
      <c r="A1217" s="3" t="s">
        <v>807</v>
      </c>
      <c r="B1217" s="15">
        <v>3</v>
      </c>
      <c r="C1217" s="46">
        <v>1</v>
      </c>
      <c r="D1217" s="1" t="s">
        <v>892</v>
      </c>
      <c r="E1217" s="1" t="s">
        <v>893</v>
      </c>
      <c r="F1217" s="3" t="s">
        <v>972</v>
      </c>
      <c r="G1217" s="52" t="s">
        <v>984</v>
      </c>
      <c r="H1217" s="52" t="s">
        <v>423</v>
      </c>
      <c r="I1217" s="31">
        <v>45617.41</v>
      </c>
      <c r="J1217" s="48">
        <f t="shared" si="40"/>
        <v>60823.21333333334</v>
      </c>
    </row>
    <row r="1218" spans="1:10" ht="33.75">
      <c r="A1218" s="3" t="s">
        <v>807</v>
      </c>
      <c r="B1218" s="15">
        <v>3</v>
      </c>
      <c r="C1218" s="46">
        <v>1</v>
      </c>
      <c r="D1218" s="1" t="s">
        <v>892</v>
      </c>
      <c r="E1218" s="1" t="s">
        <v>893</v>
      </c>
      <c r="F1218" s="3" t="s">
        <v>304</v>
      </c>
      <c r="G1218" s="52" t="s">
        <v>984</v>
      </c>
      <c r="H1218" s="52" t="s">
        <v>423</v>
      </c>
      <c r="I1218" s="31">
        <v>45738.75</v>
      </c>
      <c r="J1218" s="48">
        <f t="shared" si="40"/>
        <v>60985</v>
      </c>
    </row>
    <row r="1219" spans="1:10" ht="33.75">
      <c r="A1219" s="3" t="s">
        <v>807</v>
      </c>
      <c r="B1219" s="15">
        <v>3</v>
      </c>
      <c r="C1219" s="46">
        <v>1</v>
      </c>
      <c r="D1219" s="1" t="s">
        <v>892</v>
      </c>
      <c r="E1219" s="1" t="s">
        <v>893</v>
      </c>
      <c r="F1219" s="3" t="s">
        <v>776</v>
      </c>
      <c r="G1219" s="52" t="s">
        <v>984</v>
      </c>
      <c r="H1219" s="52" t="s">
        <v>423</v>
      </c>
      <c r="I1219" s="31">
        <v>25862.5</v>
      </c>
      <c r="J1219" s="48">
        <f t="shared" si="40"/>
        <v>34483.333333333336</v>
      </c>
    </row>
    <row r="1220" spans="1:10" ht="33.75">
      <c r="A1220" s="3" t="s">
        <v>807</v>
      </c>
      <c r="B1220" s="15">
        <v>3</v>
      </c>
      <c r="C1220" s="46">
        <v>1</v>
      </c>
      <c r="D1220" s="1" t="s">
        <v>892</v>
      </c>
      <c r="E1220" s="1" t="s">
        <v>893</v>
      </c>
      <c r="F1220" s="3" t="s">
        <v>536</v>
      </c>
      <c r="G1220" s="52" t="s">
        <v>984</v>
      </c>
      <c r="H1220" s="52" t="s">
        <v>423</v>
      </c>
      <c r="I1220" s="31">
        <v>27000</v>
      </c>
      <c r="J1220" s="48">
        <f t="shared" si="40"/>
        <v>36000</v>
      </c>
    </row>
    <row r="1221" spans="1:10" ht="33.75">
      <c r="A1221" s="3" t="s">
        <v>807</v>
      </c>
      <c r="B1221" s="15">
        <v>3</v>
      </c>
      <c r="C1221" s="46">
        <v>1</v>
      </c>
      <c r="D1221" s="1" t="s">
        <v>892</v>
      </c>
      <c r="E1221" s="1" t="s">
        <v>893</v>
      </c>
      <c r="F1221" s="3" t="s">
        <v>728</v>
      </c>
      <c r="G1221" s="52" t="s">
        <v>984</v>
      </c>
      <c r="H1221" s="52" t="s">
        <v>423</v>
      </c>
      <c r="I1221" s="31">
        <v>44400</v>
      </c>
      <c r="J1221" s="48">
        <f t="shared" si="40"/>
        <v>59200</v>
      </c>
    </row>
    <row r="1222" spans="1:10" ht="33.75">
      <c r="A1222" s="3" t="s">
        <v>807</v>
      </c>
      <c r="B1222" s="15">
        <v>3</v>
      </c>
      <c r="C1222" s="46">
        <v>1</v>
      </c>
      <c r="D1222" s="1" t="s">
        <v>892</v>
      </c>
      <c r="E1222" s="1" t="s">
        <v>893</v>
      </c>
      <c r="F1222" s="3" t="s">
        <v>775</v>
      </c>
      <c r="G1222" s="52" t="s">
        <v>984</v>
      </c>
      <c r="H1222" s="52" t="s">
        <v>423</v>
      </c>
      <c r="I1222" s="31">
        <v>50512.5</v>
      </c>
      <c r="J1222" s="48">
        <f t="shared" si="40"/>
        <v>67350</v>
      </c>
    </row>
    <row r="1223" spans="1:10" ht="33.75">
      <c r="A1223" s="3" t="s">
        <v>807</v>
      </c>
      <c r="B1223" s="15">
        <v>3</v>
      </c>
      <c r="C1223" s="46">
        <v>1</v>
      </c>
      <c r="D1223" s="1" t="s">
        <v>892</v>
      </c>
      <c r="E1223" s="1" t="s">
        <v>893</v>
      </c>
      <c r="F1223" s="1" t="s">
        <v>636</v>
      </c>
      <c r="G1223" s="51" t="s">
        <v>984</v>
      </c>
      <c r="H1223" s="51" t="s">
        <v>423</v>
      </c>
      <c r="I1223" s="31">
        <f>501056.41-379136.5</f>
        <v>121919.90999999997</v>
      </c>
      <c r="J1223" s="48">
        <f t="shared" si="40"/>
        <v>162559.87999999998</v>
      </c>
    </row>
    <row r="1224" spans="1:10" ht="33.75">
      <c r="A1224" s="24" t="s">
        <v>807</v>
      </c>
      <c r="B1224" s="6">
        <v>3</v>
      </c>
      <c r="C1224" s="6">
        <v>1</v>
      </c>
      <c r="D1224" s="33" t="s">
        <v>892</v>
      </c>
      <c r="E1224" s="24" t="s">
        <v>893</v>
      </c>
      <c r="F1224" s="24"/>
      <c r="G1224" s="6"/>
      <c r="H1224" s="6"/>
      <c r="I1224" s="34">
        <f>SUBTOTAL(9,I1207:I1223)</f>
        <v>3553656.4000000004</v>
      </c>
      <c r="J1224" s="34">
        <f>SUBTOTAL(9,J1207:J1223)</f>
        <v>4738208.533333332</v>
      </c>
    </row>
    <row r="1225" spans="1:10" ht="33.75">
      <c r="A1225" s="3" t="s">
        <v>562</v>
      </c>
      <c r="B1225" s="15">
        <v>3</v>
      </c>
      <c r="C1225" s="46">
        <v>2</v>
      </c>
      <c r="D1225" s="47" t="s">
        <v>896</v>
      </c>
      <c r="E1225" s="1" t="s">
        <v>897</v>
      </c>
      <c r="F1225" s="47" t="s">
        <v>6</v>
      </c>
      <c r="G1225" s="53" t="s">
        <v>983</v>
      </c>
      <c r="H1225" s="53" t="s">
        <v>423</v>
      </c>
      <c r="I1225" s="48">
        <v>146073.93</v>
      </c>
      <c r="J1225" s="48">
        <f>I1225/0.75</f>
        <v>194765.24</v>
      </c>
    </row>
    <row r="1226" spans="1:10" ht="33.75">
      <c r="A1226" s="3" t="s">
        <v>562</v>
      </c>
      <c r="B1226" s="15">
        <v>3</v>
      </c>
      <c r="C1226" s="46">
        <v>2</v>
      </c>
      <c r="D1226" s="47" t="s">
        <v>896</v>
      </c>
      <c r="E1226" s="1" t="s">
        <v>897</v>
      </c>
      <c r="F1226" s="47" t="s">
        <v>898</v>
      </c>
      <c r="G1226" s="53" t="s">
        <v>983</v>
      </c>
      <c r="H1226" s="53" t="s">
        <v>423</v>
      </c>
      <c r="I1226" s="48">
        <v>62981.25</v>
      </c>
      <c r="J1226" s="48">
        <f>I1226/0.75</f>
        <v>83975</v>
      </c>
    </row>
    <row r="1227" spans="1:10" ht="33.75">
      <c r="A1227" s="3" t="s">
        <v>562</v>
      </c>
      <c r="B1227" s="15">
        <v>3</v>
      </c>
      <c r="C1227" s="46">
        <v>2</v>
      </c>
      <c r="D1227" s="47" t="s">
        <v>896</v>
      </c>
      <c r="E1227" s="1" t="s">
        <v>897</v>
      </c>
      <c r="F1227" s="3" t="s">
        <v>799</v>
      </c>
      <c r="G1227" s="54" t="s">
        <v>984</v>
      </c>
      <c r="H1227" s="54" t="s">
        <v>423</v>
      </c>
      <c r="I1227" s="48">
        <v>33580.77</v>
      </c>
      <c r="J1227" s="48">
        <f>I1227/0.75</f>
        <v>44774.35999999999</v>
      </c>
    </row>
    <row r="1228" spans="1:10" ht="33.75">
      <c r="A1228" s="3" t="s">
        <v>562</v>
      </c>
      <c r="B1228" s="15">
        <v>3</v>
      </c>
      <c r="C1228" s="46">
        <v>2</v>
      </c>
      <c r="D1228" s="47" t="s">
        <v>896</v>
      </c>
      <c r="E1228" s="1" t="s">
        <v>897</v>
      </c>
      <c r="F1228" s="55" t="s">
        <v>503</v>
      </c>
      <c r="G1228" s="53" t="s">
        <v>983</v>
      </c>
      <c r="H1228" s="53" t="s">
        <v>330</v>
      </c>
      <c r="I1228" s="48">
        <v>138667.95</v>
      </c>
      <c r="J1228" s="48">
        <f>I1228/0.75</f>
        <v>184890.6</v>
      </c>
    </row>
    <row r="1229" spans="1:10" ht="33.75">
      <c r="A1229" s="24" t="s">
        <v>562</v>
      </c>
      <c r="B1229" s="6">
        <v>3</v>
      </c>
      <c r="C1229" s="6">
        <v>2</v>
      </c>
      <c r="D1229" s="33" t="s">
        <v>896</v>
      </c>
      <c r="E1229" s="24" t="s">
        <v>897</v>
      </c>
      <c r="F1229" s="24"/>
      <c r="G1229" s="6"/>
      <c r="H1229" s="6"/>
      <c r="I1229" s="34">
        <f>SUBTOTAL(9,I1225:I1228)</f>
        <v>381303.9</v>
      </c>
      <c r="J1229" s="34">
        <f>SUBTOTAL(9,J1225:J1228)</f>
        <v>508405.19999999995</v>
      </c>
    </row>
    <row r="1230" spans="1:10" ht="33.75">
      <c r="A1230" s="3" t="s">
        <v>807</v>
      </c>
      <c r="B1230" s="15">
        <v>3</v>
      </c>
      <c r="C1230" s="46">
        <v>1</v>
      </c>
      <c r="D1230" s="47" t="s">
        <v>899</v>
      </c>
      <c r="E1230" s="1" t="s">
        <v>900</v>
      </c>
      <c r="F1230" s="49" t="s">
        <v>901</v>
      </c>
      <c r="G1230" s="54" t="s">
        <v>983</v>
      </c>
      <c r="H1230" s="54" t="s">
        <v>423</v>
      </c>
      <c r="I1230" s="48">
        <v>109126.76999999999</v>
      </c>
      <c r="J1230" s="48">
        <f>I1230/0.75</f>
        <v>145502.36</v>
      </c>
    </row>
    <row r="1231" spans="1:10" ht="33.75">
      <c r="A1231" s="3" t="s">
        <v>807</v>
      </c>
      <c r="B1231" s="15">
        <v>3</v>
      </c>
      <c r="C1231" s="46">
        <v>1</v>
      </c>
      <c r="D1231" s="47" t="s">
        <v>899</v>
      </c>
      <c r="E1231" s="1" t="s">
        <v>900</v>
      </c>
      <c r="F1231" s="50" t="s">
        <v>260</v>
      </c>
      <c r="G1231" s="54" t="s">
        <v>983</v>
      </c>
      <c r="H1231" s="54" t="s">
        <v>330</v>
      </c>
      <c r="I1231" s="48">
        <f>243057.15+200000</f>
        <v>443057.15</v>
      </c>
      <c r="J1231" s="48">
        <f>I1231/0.75</f>
        <v>590742.8666666667</v>
      </c>
    </row>
    <row r="1232" spans="1:10" ht="33.75">
      <c r="A1232" s="3" t="s">
        <v>807</v>
      </c>
      <c r="B1232" s="15">
        <v>3</v>
      </c>
      <c r="C1232" s="46">
        <v>1</v>
      </c>
      <c r="D1232" s="47" t="s">
        <v>899</v>
      </c>
      <c r="E1232" s="1" t="s">
        <v>900</v>
      </c>
      <c r="F1232" s="49" t="s">
        <v>534</v>
      </c>
      <c r="G1232" s="54" t="s">
        <v>984</v>
      </c>
      <c r="H1232" s="54" t="s">
        <v>423</v>
      </c>
      <c r="I1232" s="48">
        <f>150000+400000</f>
        <v>550000</v>
      </c>
      <c r="J1232" s="48">
        <f>I1232/0.75</f>
        <v>733333.3333333334</v>
      </c>
    </row>
    <row r="1233" spans="1:10" ht="33.75">
      <c r="A1233" s="24" t="s">
        <v>807</v>
      </c>
      <c r="B1233" s="6">
        <v>3</v>
      </c>
      <c r="C1233" s="6">
        <v>1</v>
      </c>
      <c r="D1233" s="33" t="s">
        <v>899</v>
      </c>
      <c r="E1233" s="24" t="s">
        <v>900</v>
      </c>
      <c r="F1233" s="24"/>
      <c r="G1233" s="6"/>
      <c r="H1233" s="6"/>
      <c r="I1233" s="34">
        <f>SUBTOTAL(9,I1230:I1232)</f>
        <v>1102183.92</v>
      </c>
      <c r="J1233" s="34">
        <f>SUBTOTAL(9,J1230:J1232)</f>
        <v>1469578.56</v>
      </c>
    </row>
    <row r="1234" spans="1:10" ht="45">
      <c r="A1234" s="3" t="s">
        <v>563</v>
      </c>
      <c r="B1234" s="15">
        <v>3</v>
      </c>
      <c r="C1234" s="46">
        <v>1</v>
      </c>
      <c r="D1234" s="1" t="s">
        <v>902</v>
      </c>
      <c r="E1234" s="1" t="s">
        <v>903</v>
      </c>
      <c r="F1234" s="4" t="s">
        <v>955</v>
      </c>
      <c r="G1234" s="52" t="s">
        <v>983</v>
      </c>
      <c r="H1234" s="52" t="s">
        <v>330</v>
      </c>
      <c r="I1234" s="31">
        <v>642590.02</v>
      </c>
      <c r="J1234" s="48">
        <f>I1234/0.75</f>
        <v>856786.6933333334</v>
      </c>
    </row>
    <row r="1235" spans="1:10" ht="33.75">
      <c r="A1235" s="3" t="s">
        <v>563</v>
      </c>
      <c r="B1235" s="15">
        <v>3</v>
      </c>
      <c r="C1235" s="46">
        <v>1</v>
      </c>
      <c r="D1235" s="1" t="s">
        <v>902</v>
      </c>
      <c r="E1235" s="1" t="s">
        <v>903</v>
      </c>
      <c r="F1235" s="1" t="s">
        <v>713</v>
      </c>
      <c r="G1235" s="51" t="s">
        <v>984</v>
      </c>
      <c r="H1235" s="51" t="s">
        <v>423</v>
      </c>
      <c r="I1235" s="41">
        <v>0</v>
      </c>
      <c r="J1235" s="48">
        <f>I1235/0.75</f>
        <v>0</v>
      </c>
    </row>
    <row r="1236" spans="1:10" ht="33.75">
      <c r="A1236" s="3" t="s">
        <v>563</v>
      </c>
      <c r="B1236" s="15">
        <v>3</v>
      </c>
      <c r="C1236" s="46">
        <v>1</v>
      </c>
      <c r="D1236" s="1" t="s">
        <v>902</v>
      </c>
      <c r="E1236" s="1" t="s">
        <v>903</v>
      </c>
      <c r="F1236" s="1" t="s">
        <v>904</v>
      </c>
      <c r="G1236" s="51" t="s">
        <v>983</v>
      </c>
      <c r="H1236" s="51" t="s">
        <v>423</v>
      </c>
      <c r="I1236" s="41">
        <v>0</v>
      </c>
      <c r="J1236" s="48">
        <f>I1236/0.75</f>
        <v>0</v>
      </c>
    </row>
    <row r="1237" spans="1:10" ht="33.75">
      <c r="A1237" s="24" t="s">
        <v>563</v>
      </c>
      <c r="B1237" s="6">
        <v>3</v>
      </c>
      <c r="C1237" s="6">
        <v>1</v>
      </c>
      <c r="D1237" s="33" t="s">
        <v>902</v>
      </c>
      <c r="E1237" s="24" t="s">
        <v>903</v>
      </c>
      <c r="F1237" s="24"/>
      <c r="G1237" s="6"/>
      <c r="H1237" s="6"/>
      <c r="I1237" s="34">
        <f>SUBTOTAL(9,I1234:I1236)</f>
        <v>642590.02</v>
      </c>
      <c r="J1237" s="34">
        <f>SUBTOTAL(9,J1234:J1236)</f>
        <v>856786.6933333334</v>
      </c>
    </row>
    <row r="1238" spans="1:10" ht="33.75">
      <c r="A1238" s="19" t="s">
        <v>562</v>
      </c>
      <c r="B1238" s="17">
        <v>3</v>
      </c>
      <c r="C1238" s="15">
        <v>3</v>
      </c>
      <c r="D1238" s="14" t="s">
        <v>963</v>
      </c>
      <c r="E1238" s="14" t="s">
        <v>988</v>
      </c>
      <c r="F1238" s="20" t="s">
        <v>678</v>
      </c>
      <c r="G1238" s="8" t="s">
        <v>983</v>
      </c>
      <c r="H1238" s="18" t="s">
        <v>330</v>
      </c>
      <c r="I1238" s="16">
        <v>150000</v>
      </c>
      <c r="J1238" s="16">
        <v>112500</v>
      </c>
    </row>
    <row r="1239" spans="1:10" ht="33.75">
      <c r="A1239" s="19" t="s">
        <v>562</v>
      </c>
      <c r="B1239" s="17">
        <v>3</v>
      </c>
      <c r="C1239" s="15">
        <v>3</v>
      </c>
      <c r="D1239" s="14" t="s">
        <v>963</v>
      </c>
      <c r="E1239" s="14" t="s">
        <v>988</v>
      </c>
      <c r="F1239" s="20" t="s">
        <v>964</v>
      </c>
      <c r="G1239" s="2" t="s">
        <v>984</v>
      </c>
      <c r="H1239" s="18" t="s">
        <v>330</v>
      </c>
      <c r="I1239" s="16">
        <v>53333.333333333336</v>
      </c>
      <c r="J1239" s="16">
        <v>40000</v>
      </c>
    </row>
    <row r="1240" spans="1:10" ht="33.75">
      <c r="A1240" s="24" t="s">
        <v>562</v>
      </c>
      <c r="B1240" s="6">
        <v>3</v>
      </c>
      <c r="C1240" s="6">
        <v>3</v>
      </c>
      <c r="D1240" s="7" t="s">
        <v>963</v>
      </c>
      <c r="E1240" s="24" t="s">
        <v>988</v>
      </c>
      <c r="F1240" s="24"/>
      <c r="G1240" s="6"/>
      <c r="H1240" s="6"/>
      <c r="I1240" s="13">
        <v>203333.33333333334</v>
      </c>
      <c r="J1240" s="13">
        <v>152500</v>
      </c>
    </row>
    <row r="1241" spans="1:10" ht="33.75">
      <c r="A1241" s="3" t="s">
        <v>562</v>
      </c>
      <c r="B1241" s="15">
        <v>3</v>
      </c>
      <c r="C1241" s="46">
        <v>2</v>
      </c>
      <c r="D1241" s="49" t="s">
        <v>905</v>
      </c>
      <c r="E1241" s="1" t="s">
        <v>906</v>
      </c>
      <c r="F1241" s="55" t="s">
        <v>907</v>
      </c>
      <c r="G1241" s="53" t="s">
        <v>983</v>
      </c>
      <c r="H1241" s="53" t="s">
        <v>330</v>
      </c>
      <c r="I1241" s="48">
        <f>65733.57+144056.01</f>
        <v>209789.58000000002</v>
      </c>
      <c r="J1241" s="48">
        <f>I1241/0.75</f>
        <v>279719.44</v>
      </c>
    </row>
    <row r="1242" spans="1:10" ht="33.75">
      <c r="A1242" s="3" t="s">
        <v>562</v>
      </c>
      <c r="B1242" s="15">
        <v>3</v>
      </c>
      <c r="C1242" s="46">
        <v>2</v>
      </c>
      <c r="D1242" s="49" t="s">
        <v>905</v>
      </c>
      <c r="E1242" s="1" t="s">
        <v>906</v>
      </c>
      <c r="F1242" s="47" t="s">
        <v>908</v>
      </c>
      <c r="G1242" s="53" t="s">
        <v>984</v>
      </c>
      <c r="H1242" s="53" t="s">
        <v>423</v>
      </c>
      <c r="I1242" s="48">
        <v>73385</v>
      </c>
      <c r="J1242" s="48">
        <f>I1242/0.75</f>
        <v>97846.66666666667</v>
      </c>
    </row>
    <row r="1243" spans="1:10" ht="33.75">
      <c r="A1243" s="24" t="s">
        <v>562</v>
      </c>
      <c r="B1243" s="6">
        <v>3</v>
      </c>
      <c r="C1243" s="6">
        <v>2</v>
      </c>
      <c r="D1243" s="33" t="s">
        <v>905</v>
      </c>
      <c r="E1243" s="24" t="s">
        <v>906</v>
      </c>
      <c r="F1243" s="24"/>
      <c r="G1243" s="6"/>
      <c r="H1243" s="6"/>
      <c r="I1243" s="34">
        <f>SUBTOTAL(9,I1241:I1242)</f>
        <v>283174.58</v>
      </c>
      <c r="J1243" s="34">
        <f>SUBTOTAL(9,J1241:J1242)</f>
        <v>377566.1066666667</v>
      </c>
    </row>
    <row r="1244" spans="1:10" ht="33.75">
      <c r="A1244" s="3" t="s">
        <v>565</v>
      </c>
      <c r="B1244" s="15">
        <v>3</v>
      </c>
      <c r="C1244" s="46">
        <v>1</v>
      </c>
      <c r="D1244" s="1" t="s">
        <v>909</v>
      </c>
      <c r="E1244" s="1" t="s">
        <v>910</v>
      </c>
      <c r="F1244" s="5" t="s">
        <v>873</v>
      </c>
      <c r="G1244" s="51" t="s">
        <v>983</v>
      </c>
      <c r="H1244" s="51" t="s">
        <v>330</v>
      </c>
      <c r="I1244" s="31">
        <v>46500</v>
      </c>
      <c r="J1244" s="48">
        <f>I1244/0.75</f>
        <v>62000</v>
      </c>
    </row>
    <row r="1245" spans="1:10" ht="22.5">
      <c r="A1245" s="3" t="s">
        <v>565</v>
      </c>
      <c r="B1245" s="15">
        <v>3</v>
      </c>
      <c r="C1245" s="46">
        <v>1</v>
      </c>
      <c r="D1245" s="1" t="s">
        <v>909</v>
      </c>
      <c r="E1245" s="1" t="s">
        <v>910</v>
      </c>
      <c r="F1245" s="3" t="s">
        <v>956</v>
      </c>
      <c r="G1245" s="51" t="s">
        <v>984</v>
      </c>
      <c r="H1245" s="51" t="s">
        <v>423</v>
      </c>
      <c r="I1245" s="31">
        <v>23250</v>
      </c>
      <c r="J1245" s="48">
        <f>I1245/0.75</f>
        <v>31000</v>
      </c>
    </row>
    <row r="1246" spans="1:10" ht="22.5">
      <c r="A1246" s="3" t="s">
        <v>565</v>
      </c>
      <c r="B1246" s="15">
        <v>3</v>
      </c>
      <c r="C1246" s="46">
        <v>1</v>
      </c>
      <c r="D1246" s="1" t="s">
        <v>909</v>
      </c>
      <c r="E1246" s="1" t="s">
        <v>910</v>
      </c>
      <c r="F1246" s="3" t="s">
        <v>957</v>
      </c>
      <c r="G1246" s="51" t="s">
        <v>984</v>
      </c>
      <c r="H1246" s="51" t="s">
        <v>423</v>
      </c>
      <c r="I1246" s="31">
        <v>9375</v>
      </c>
      <c r="J1246" s="48">
        <f>I1246/0.75</f>
        <v>12500</v>
      </c>
    </row>
    <row r="1247" spans="1:10" ht="22.5">
      <c r="A1247" s="24" t="s">
        <v>565</v>
      </c>
      <c r="B1247" s="6">
        <v>3</v>
      </c>
      <c r="C1247" s="6">
        <v>1</v>
      </c>
      <c r="D1247" s="33" t="s">
        <v>909</v>
      </c>
      <c r="E1247" s="24" t="s">
        <v>910</v>
      </c>
      <c r="F1247" s="24"/>
      <c r="G1247" s="6"/>
      <c r="H1247" s="6"/>
      <c r="I1247" s="34">
        <f>SUBTOTAL(9,I1244:I1246)</f>
        <v>79125</v>
      </c>
      <c r="J1247" s="34">
        <f>SUBTOTAL(9,J1244:J1246)</f>
        <v>105500</v>
      </c>
    </row>
    <row r="1248" spans="1:10" ht="33.75">
      <c r="A1248" s="3" t="s">
        <v>807</v>
      </c>
      <c r="B1248" s="15">
        <v>3</v>
      </c>
      <c r="C1248" s="46">
        <v>1</v>
      </c>
      <c r="D1248" s="47" t="s">
        <v>911</v>
      </c>
      <c r="E1248" s="1" t="s">
        <v>912</v>
      </c>
      <c r="F1248" s="47" t="s">
        <v>628</v>
      </c>
      <c r="G1248" s="53" t="s">
        <v>983</v>
      </c>
      <c r="H1248" s="53" t="s">
        <v>423</v>
      </c>
      <c r="I1248" s="48">
        <v>90375</v>
      </c>
      <c r="J1248" s="48">
        <f aca="true" t="shared" si="41" ref="J1248:J1256">I1248/0.75</f>
        <v>120500</v>
      </c>
    </row>
    <row r="1249" spans="1:10" ht="33.75">
      <c r="A1249" s="3" t="s">
        <v>807</v>
      </c>
      <c r="B1249" s="15">
        <v>3</v>
      </c>
      <c r="C1249" s="46">
        <v>1</v>
      </c>
      <c r="D1249" s="47" t="s">
        <v>911</v>
      </c>
      <c r="E1249" s="1" t="s">
        <v>912</v>
      </c>
      <c r="F1249" s="55" t="s">
        <v>480</v>
      </c>
      <c r="G1249" s="53" t="s">
        <v>983</v>
      </c>
      <c r="H1249" s="53" t="s">
        <v>330</v>
      </c>
      <c r="I1249" s="48">
        <v>118387.5</v>
      </c>
      <c r="J1249" s="48">
        <f t="shared" si="41"/>
        <v>157850</v>
      </c>
    </row>
    <row r="1250" spans="1:10" ht="33.75">
      <c r="A1250" s="3" t="s">
        <v>807</v>
      </c>
      <c r="B1250" s="15">
        <v>3</v>
      </c>
      <c r="C1250" s="46">
        <v>1</v>
      </c>
      <c r="D1250" s="47" t="s">
        <v>911</v>
      </c>
      <c r="E1250" s="1" t="s">
        <v>912</v>
      </c>
      <c r="F1250" s="47" t="s">
        <v>704</v>
      </c>
      <c r="G1250" s="53" t="s">
        <v>983</v>
      </c>
      <c r="H1250" s="53" t="s">
        <v>423</v>
      </c>
      <c r="I1250" s="48">
        <v>50000</v>
      </c>
      <c r="J1250" s="48">
        <f t="shared" si="41"/>
        <v>66666.66666666667</v>
      </c>
    </row>
    <row r="1251" spans="1:10" ht="33.75">
      <c r="A1251" s="3" t="s">
        <v>807</v>
      </c>
      <c r="B1251" s="15">
        <v>3</v>
      </c>
      <c r="C1251" s="46">
        <v>1</v>
      </c>
      <c r="D1251" s="47" t="s">
        <v>911</v>
      </c>
      <c r="E1251" s="1" t="s">
        <v>912</v>
      </c>
      <c r="F1251" s="47" t="s">
        <v>705</v>
      </c>
      <c r="G1251" s="53" t="s">
        <v>983</v>
      </c>
      <c r="H1251" s="53" t="s">
        <v>423</v>
      </c>
      <c r="I1251" s="48">
        <v>50000</v>
      </c>
      <c r="J1251" s="48">
        <f t="shared" si="41"/>
        <v>66666.66666666667</v>
      </c>
    </row>
    <row r="1252" spans="1:10" ht="33.75">
      <c r="A1252" s="3" t="s">
        <v>807</v>
      </c>
      <c r="B1252" s="15">
        <v>3</v>
      </c>
      <c r="C1252" s="46">
        <v>1</v>
      </c>
      <c r="D1252" s="47" t="s">
        <v>911</v>
      </c>
      <c r="E1252" s="1" t="s">
        <v>912</v>
      </c>
      <c r="F1252" s="47" t="s">
        <v>853</v>
      </c>
      <c r="G1252" s="53" t="s">
        <v>983</v>
      </c>
      <c r="H1252" s="53" t="s">
        <v>423</v>
      </c>
      <c r="I1252" s="48">
        <v>50000</v>
      </c>
      <c r="J1252" s="48">
        <f t="shared" si="41"/>
        <v>66666.66666666667</v>
      </c>
    </row>
    <row r="1253" spans="1:10" ht="33.75">
      <c r="A1253" s="3" t="s">
        <v>807</v>
      </c>
      <c r="B1253" s="15">
        <v>3</v>
      </c>
      <c r="C1253" s="46">
        <v>1</v>
      </c>
      <c r="D1253" s="47" t="s">
        <v>911</v>
      </c>
      <c r="E1253" s="1" t="s">
        <v>912</v>
      </c>
      <c r="F1253" s="47" t="s">
        <v>425</v>
      </c>
      <c r="G1253" s="53" t="s">
        <v>984</v>
      </c>
      <c r="H1253" s="53" t="s">
        <v>423</v>
      </c>
      <c r="I1253" s="48">
        <v>43500</v>
      </c>
      <c r="J1253" s="48">
        <f t="shared" si="41"/>
        <v>58000</v>
      </c>
    </row>
    <row r="1254" spans="1:10" ht="33.75">
      <c r="A1254" s="3" t="s">
        <v>807</v>
      </c>
      <c r="B1254" s="15">
        <v>3</v>
      </c>
      <c r="C1254" s="46">
        <v>1</v>
      </c>
      <c r="D1254" s="47" t="s">
        <v>911</v>
      </c>
      <c r="E1254" s="1" t="s">
        <v>912</v>
      </c>
      <c r="F1254" s="47" t="s">
        <v>706</v>
      </c>
      <c r="G1254" s="53" t="s">
        <v>984</v>
      </c>
      <c r="H1254" s="53" t="s">
        <v>423</v>
      </c>
      <c r="I1254" s="48">
        <v>40000</v>
      </c>
      <c r="J1254" s="48">
        <f t="shared" si="41"/>
        <v>53333.333333333336</v>
      </c>
    </row>
    <row r="1255" spans="1:10" ht="33.75">
      <c r="A1255" s="3" t="s">
        <v>807</v>
      </c>
      <c r="B1255" s="15">
        <v>3</v>
      </c>
      <c r="C1255" s="46">
        <v>1</v>
      </c>
      <c r="D1255" s="47" t="s">
        <v>911</v>
      </c>
      <c r="E1255" s="1" t="s">
        <v>912</v>
      </c>
      <c r="F1255" s="47" t="s">
        <v>913</v>
      </c>
      <c r="G1255" s="53" t="s">
        <v>984</v>
      </c>
      <c r="H1255" s="53" t="s">
        <v>423</v>
      </c>
      <c r="I1255" s="48">
        <v>45000</v>
      </c>
      <c r="J1255" s="48">
        <f t="shared" si="41"/>
        <v>60000</v>
      </c>
    </row>
    <row r="1256" spans="1:10" ht="33.75">
      <c r="A1256" s="3" t="s">
        <v>807</v>
      </c>
      <c r="B1256" s="15">
        <v>3</v>
      </c>
      <c r="C1256" s="46">
        <v>1</v>
      </c>
      <c r="D1256" s="47" t="s">
        <v>911</v>
      </c>
      <c r="E1256" s="1" t="s">
        <v>912</v>
      </c>
      <c r="F1256" s="47" t="s">
        <v>914</v>
      </c>
      <c r="G1256" s="53" t="s">
        <v>984</v>
      </c>
      <c r="H1256" s="53" t="s">
        <v>423</v>
      </c>
      <c r="I1256" s="48">
        <v>30000</v>
      </c>
      <c r="J1256" s="48">
        <f t="shared" si="41"/>
        <v>40000</v>
      </c>
    </row>
    <row r="1257" spans="1:10" ht="33.75">
      <c r="A1257" s="24" t="s">
        <v>807</v>
      </c>
      <c r="B1257" s="6">
        <v>3</v>
      </c>
      <c r="C1257" s="6">
        <v>1</v>
      </c>
      <c r="D1257" s="33" t="s">
        <v>911</v>
      </c>
      <c r="E1257" s="24" t="s">
        <v>912</v>
      </c>
      <c r="F1257" s="24"/>
      <c r="G1257" s="6"/>
      <c r="H1257" s="6"/>
      <c r="I1257" s="34">
        <f>SUBTOTAL(9,I1248:I1256)</f>
        <v>517262.5</v>
      </c>
      <c r="J1257" s="34">
        <f>SUBTOTAL(9,J1248:J1256)</f>
        <v>689683.3333333334</v>
      </c>
    </row>
    <row r="1258" spans="1:10" ht="33.75">
      <c r="A1258" s="3" t="s">
        <v>1003</v>
      </c>
      <c r="B1258" s="15">
        <v>3</v>
      </c>
      <c r="C1258" s="46">
        <v>1</v>
      </c>
      <c r="D1258" s="47" t="s">
        <v>915</v>
      </c>
      <c r="E1258" s="1" t="s">
        <v>916</v>
      </c>
      <c r="F1258" s="55" t="s">
        <v>917</v>
      </c>
      <c r="G1258" s="53" t="s">
        <v>983</v>
      </c>
      <c r="H1258" s="53" t="s">
        <v>330</v>
      </c>
      <c r="I1258" s="48">
        <v>217312.5</v>
      </c>
      <c r="J1258" s="48">
        <f aca="true" t="shared" si="42" ref="J1258:J1265">I1258/0.75</f>
        <v>289750</v>
      </c>
    </row>
    <row r="1259" spans="1:10" ht="33.75">
      <c r="A1259" s="3" t="s">
        <v>1003</v>
      </c>
      <c r="B1259" s="15">
        <v>3</v>
      </c>
      <c r="C1259" s="46">
        <v>1</v>
      </c>
      <c r="D1259" s="47" t="s">
        <v>915</v>
      </c>
      <c r="E1259" s="1" t="s">
        <v>916</v>
      </c>
      <c r="F1259" s="47" t="s">
        <v>918</v>
      </c>
      <c r="G1259" s="53" t="s">
        <v>983</v>
      </c>
      <c r="H1259" s="53" t="s">
        <v>423</v>
      </c>
      <c r="I1259" s="48">
        <v>86250</v>
      </c>
      <c r="J1259" s="48">
        <f t="shared" si="42"/>
        <v>115000</v>
      </c>
    </row>
    <row r="1260" spans="1:10" ht="33.75">
      <c r="A1260" s="3" t="s">
        <v>1003</v>
      </c>
      <c r="B1260" s="15">
        <v>3</v>
      </c>
      <c r="C1260" s="46">
        <v>1</v>
      </c>
      <c r="D1260" s="47" t="s">
        <v>915</v>
      </c>
      <c r="E1260" s="1" t="s">
        <v>916</v>
      </c>
      <c r="F1260" s="47" t="s">
        <v>812</v>
      </c>
      <c r="G1260" s="53" t="s">
        <v>983</v>
      </c>
      <c r="H1260" s="53" t="s">
        <v>423</v>
      </c>
      <c r="I1260" s="48">
        <v>92995.5</v>
      </c>
      <c r="J1260" s="48">
        <f t="shared" si="42"/>
        <v>123994</v>
      </c>
    </row>
    <row r="1261" spans="1:10" ht="33.75">
      <c r="A1261" s="3" t="s">
        <v>1003</v>
      </c>
      <c r="B1261" s="15">
        <v>3</v>
      </c>
      <c r="C1261" s="46">
        <v>1</v>
      </c>
      <c r="D1261" s="47" t="s">
        <v>915</v>
      </c>
      <c r="E1261" s="1" t="s">
        <v>916</v>
      </c>
      <c r="F1261" s="47" t="s">
        <v>919</v>
      </c>
      <c r="G1261" s="53" t="s">
        <v>983</v>
      </c>
      <c r="H1261" s="53" t="s">
        <v>423</v>
      </c>
      <c r="I1261" s="48">
        <v>92995.5</v>
      </c>
      <c r="J1261" s="48">
        <f t="shared" si="42"/>
        <v>123994</v>
      </c>
    </row>
    <row r="1262" spans="1:10" ht="33.75">
      <c r="A1262" s="3" t="s">
        <v>1003</v>
      </c>
      <c r="B1262" s="15">
        <v>3</v>
      </c>
      <c r="C1262" s="46">
        <v>1</v>
      </c>
      <c r="D1262" s="47" t="s">
        <v>915</v>
      </c>
      <c r="E1262" s="1" t="s">
        <v>916</v>
      </c>
      <c r="F1262" s="47" t="s">
        <v>274</v>
      </c>
      <c r="G1262" s="53" t="s">
        <v>984</v>
      </c>
      <c r="H1262" s="53" t="s">
        <v>423</v>
      </c>
      <c r="I1262" s="56">
        <v>20000.01</v>
      </c>
      <c r="J1262" s="48">
        <f t="shared" si="42"/>
        <v>26666.679999999997</v>
      </c>
    </row>
    <row r="1263" spans="1:10" ht="33.75">
      <c r="A1263" s="3" t="s">
        <v>1003</v>
      </c>
      <c r="B1263" s="15">
        <v>3</v>
      </c>
      <c r="C1263" s="46">
        <v>1</v>
      </c>
      <c r="D1263" s="47" t="s">
        <v>915</v>
      </c>
      <c r="E1263" s="1" t="s">
        <v>916</v>
      </c>
      <c r="F1263" s="47" t="s">
        <v>920</v>
      </c>
      <c r="G1263" s="53" t="s">
        <v>983</v>
      </c>
      <c r="H1263" s="53" t="s">
        <v>423</v>
      </c>
      <c r="I1263" s="48">
        <v>90957</v>
      </c>
      <c r="J1263" s="48">
        <f t="shared" si="42"/>
        <v>121276</v>
      </c>
    </row>
    <row r="1264" spans="1:10" ht="33.75">
      <c r="A1264" s="3" t="s">
        <v>1003</v>
      </c>
      <c r="B1264" s="15">
        <v>3</v>
      </c>
      <c r="C1264" s="46">
        <v>1</v>
      </c>
      <c r="D1264" s="47" t="s">
        <v>915</v>
      </c>
      <c r="E1264" s="1" t="s">
        <v>916</v>
      </c>
      <c r="F1264" s="47" t="s">
        <v>921</v>
      </c>
      <c r="G1264" s="53" t="s">
        <v>983</v>
      </c>
      <c r="H1264" s="53" t="s">
        <v>423</v>
      </c>
      <c r="I1264" s="48">
        <v>63672</v>
      </c>
      <c r="J1264" s="48">
        <f t="shared" si="42"/>
        <v>84896</v>
      </c>
    </row>
    <row r="1265" spans="1:10" ht="33.75">
      <c r="A1265" s="3" t="s">
        <v>1003</v>
      </c>
      <c r="B1265" s="15">
        <v>3</v>
      </c>
      <c r="C1265" s="46">
        <v>1</v>
      </c>
      <c r="D1265" s="47" t="s">
        <v>915</v>
      </c>
      <c r="E1265" s="1" t="s">
        <v>916</v>
      </c>
      <c r="F1265" s="47" t="s">
        <v>555</v>
      </c>
      <c r="G1265" s="53" t="s">
        <v>984</v>
      </c>
      <c r="H1265" s="53" t="s">
        <v>423</v>
      </c>
      <c r="I1265" s="48">
        <v>19999.98</v>
      </c>
      <c r="J1265" s="48">
        <f t="shared" si="42"/>
        <v>26666.64</v>
      </c>
    </row>
    <row r="1266" spans="1:10" ht="33.75">
      <c r="A1266" s="24" t="s">
        <v>1003</v>
      </c>
      <c r="B1266" s="6">
        <v>3</v>
      </c>
      <c r="C1266" s="6">
        <v>1</v>
      </c>
      <c r="D1266" s="33" t="s">
        <v>915</v>
      </c>
      <c r="E1266" s="24" t="s">
        <v>916</v>
      </c>
      <c r="F1266" s="24"/>
      <c r="G1266" s="6"/>
      <c r="H1266" s="6"/>
      <c r="I1266" s="34">
        <f>SUBTOTAL(9,I1258:I1265)</f>
        <v>684182.49</v>
      </c>
      <c r="J1266" s="34">
        <f>SUBTOTAL(9,J1258:J1265)</f>
        <v>912243.3200000001</v>
      </c>
    </row>
    <row r="1267" spans="1:10" ht="33.75">
      <c r="A1267" s="3" t="s">
        <v>1003</v>
      </c>
      <c r="B1267" s="15">
        <v>3</v>
      </c>
      <c r="C1267" s="46">
        <v>2</v>
      </c>
      <c r="D1267" s="47" t="s">
        <v>922</v>
      </c>
      <c r="E1267" s="1" t="s">
        <v>923</v>
      </c>
      <c r="F1267" s="47" t="s">
        <v>924</v>
      </c>
      <c r="G1267" s="53" t="s">
        <v>984</v>
      </c>
      <c r="H1267" s="53" t="s">
        <v>423</v>
      </c>
      <c r="I1267" s="48">
        <v>40000</v>
      </c>
      <c r="J1267" s="48">
        <f>I1267/0.75</f>
        <v>53333.333333333336</v>
      </c>
    </row>
    <row r="1268" spans="1:10" ht="33.75">
      <c r="A1268" s="3" t="s">
        <v>1003</v>
      </c>
      <c r="B1268" s="15">
        <v>3</v>
      </c>
      <c r="C1268" s="46">
        <v>2</v>
      </c>
      <c r="D1268" s="47" t="s">
        <v>922</v>
      </c>
      <c r="E1268" s="1" t="s">
        <v>923</v>
      </c>
      <c r="F1268" s="55" t="s">
        <v>925</v>
      </c>
      <c r="G1268" s="53" t="s">
        <v>983</v>
      </c>
      <c r="H1268" s="53" t="s">
        <v>330</v>
      </c>
      <c r="I1268" s="48">
        <v>280867.81</v>
      </c>
      <c r="J1268" s="48">
        <f>I1268/0.75</f>
        <v>374490.41333333333</v>
      </c>
    </row>
    <row r="1269" spans="1:10" ht="33.75">
      <c r="A1269" s="24" t="s">
        <v>1003</v>
      </c>
      <c r="B1269" s="6">
        <v>3</v>
      </c>
      <c r="C1269" s="6">
        <v>2</v>
      </c>
      <c r="D1269" s="33" t="s">
        <v>922</v>
      </c>
      <c r="E1269" s="24" t="s">
        <v>923</v>
      </c>
      <c r="F1269" s="24"/>
      <c r="G1269" s="6"/>
      <c r="H1269" s="6"/>
      <c r="I1269" s="34">
        <f>SUBTOTAL(9,I1267:I1268)</f>
        <v>320867.81</v>
      </c>
      <c r="J1269" s="34">
        <f>SUBTOTAL(9,J1267:J1268)</f>
        <v>427823.74666666664</v>
      </c>
    </row>
    <row r="1270" spans="1:10" ht="33.75">
      <c r="A1270" s="19" t="s">
        <v>563</v>
      </c>
      <c r="B1270" s="17">
        <v>3</v>
      </c>
      <c r="C1270" s="15">
        <v>3</v>
      </c>
      <c r="D1270" s="14" t="s">
        <v>965</v>
      </c>
      <c r="E1270" s="14" t="s">
        <v>966</v>
      </c>
      <c r="F1270" s="19" t="s">
        <v>967</v>
      </c>
      <c r="G1270" s="8" t="s">
        <v>983</v>
      </c>
      <c r="H1270" s="15" t="s">
        <v>423</v>
      </c>
      <c r="I1270" s="16">
        <v>513794.28</v>
      </c>
      <c r="J1270" s="16">
        <v>385345.71</v>
      </c>
    </row>
    <row r="1271" spans="1:10" ht="33.75">
      <c r="A1271" s="19" t="s">
        <v>563</v>
      </c>
      <c r="B1271" s="17">
        <v>3</v>
      </c>
      <c r="C1271" s="15">
        <v>3</v>
      </c>
      <c r="D1271" s="14" t="s">
        <v>965</v>
      </c>
      <c r="E1271" s="14" t="s">
        <v>966</v>
      </c>
      <c r="F1271" s="20" t="s">
        <v>847</v>
      </c>
      <c r="G1271" s="8" t="s">
        <v>983</v>
      </c>
      <c r="H1271" s="18" t="s">
        <v>330</v>
      </c>
      <c r="I1271" s="16">
        <v>493000</v>
      </c>
      <c r="J1271" s="16">
        <v>369750</v>
      </c>
    </row>
    <row r="1272" spans="1:10" ht="33.75">
      <c r="A1272" s="19" t="s">
        <v>563</v>
      </c>
      <c r="B1272" s="17">
        <v>3</v>
      </c>
      <c r="C1272" s="15">
        <v>3</v>
      </c>
      <c r="D1272" s="14" t="s">
        <v>965</v>
      </c>
      <c r="E1272" s="14" t="s">
        <v>966</v>
      </c>
      <c r="F1272" s="19" t="s">
        <v>844</v>
      </c>
      <c r="G1272" s="2" t="s">
        <v>984</v>
      </c>
      <c r="H1272" s="15" t="s">
        <v>423</v>
      </c>
      <c r="I1272" s="16">
        <v>75000</v>
      </c>
      <c r="J1272" s="16">
        <v>56250</v>
      </c>
    </row>
    <row r="1273" spans="1:10" ht="33.75">
      <c r="A1273" s="24" t="s">
        <v>563</v>
      </c>
      <c r="B1273" s="6">
        <v>3</v>
      </c>
      <c r="C1273" s="6">
        <v>3</v>
      </c>
      <c r="D1273" s="7" t="s">
        <v>965</v>
      </c>
      <c r="E1273" s="24" t="s">
        <v>966</v>
      </c>
      <c r="F1273" s="24"/>
      <c r="G1273" s="6"/>
      <c r="H1273" s="6"/>
      <c r="I1273" s="13">
        <v>1081794.28</v>
      </c>
      <c r="J1273" s="13">
        <v>811345.71</v>
      </c>
    </row>
    <row r="1274" spans="1:10" ht="33.75">
      <c r="A1274" s="3" t="s">
        <v>563</v>
      </c>
      <c r="B1274" s="15">
        <v>3</v>
      </c>
      <c r="C1274" s="46">
        <v>2</v>
      </c>
      <c r="D1274" s="1" t="s">
        <v>926</v>
      </c>
      <c r="E1274" s="1" t="s">
        <v>927</v>
      </c>
      <c r="F1274" s="3" t="s">
        <v>877</v>
      </c>
      <c r="G1274" s="51" t="s">
        <v>984</v>
      </c>
      <c r="H1274" s="51" t="s">
        <v>423</v>
      </c>
      <c r="I1274" s="48">
        <v>46500</v>
      </c>
      <c r="J1274" s="48">
        <f>I1274/0.75</f>
        <v>62000</v>
      </c>
    </row>
    <row r="1275" spans="1:10" ht="45">
      <c r="A1275" s="3" t="s">
        <v>563</v>
      </c>
      <c r="B1275" s="15">
        <v>3</v>
      </c>
      <c r="C1275" s="46">
        <v>2</v>
      </c>
      <c r="D1275" s="1" t="s">
        <v>926</v>
      </c>
      <c r="E1275" s="1" t="s">
        <v>927</v>
      </c>
      <c r="F1275" s="5" t="s">
        <v>833</v>
      </c>
      <c r="G1275" s="51" t="s">
        <v>983</v>
      </c>
      <c r="H1275" s="51" t="s">
        <v>330</v>
      </c>
      <c r="I1275" s="48">
        <v>844099.44</v>
      </c>
      <c r="J1275" s="48">
        <f>I1275/0.75</f>
        <v>1125465.92</v>
      </c>
    </row>
    <row r="1276" spans="1:10" ht="45">
      <c r="A1276" s="3" t="s">
        <v>563</v>
      </c>
      <c r="B1276" s="15">
        <v>3</v>
      </c>
      <c r="C1276" s="46">
        <v>2</v>
      </c>
      <c r="D1276" s="1" t="s">
        <v>926</v>
      </c>
      <c r="E1276" s="1" t="s">
        <v>927</v>
      </c>
      <c r="F1276" s="1" t="s">
        <v>831</v>
      </c>
      <c r="G1276" s="51" t="s">
        <v>983</v>
      </c>
      <c r="H1276" s="51" t="s">
        <v>423</v>
      </c>
      <c r="I1276" s="48">
        <v>944562.26</v>
      </c>
      <c r="J1276" s="48">
        <f>I1276/0.75</f>
        <v>1259416.3466666667</v>
      </c>
    </row>
    <row r="1277" spans="1:10" ht="33.75">
      <c r="A1277" s="3" t="s">
        <v>563</v>
      </c>
      <c r="B1277" s="15">
        <v>3</v>
      </c>
      <c r="C1277" s="46">
        <v>2</v>
      </c>
      <c r="D1277" s="1" t="s">
        <v>926</v>
      </c>
      <c r="E1277" s="1" t="s">
        <v>927</v>
      </c>
      <c r="F1277" s="1" t="s">
        <v>928</v>
      </c>
      <c r="G1277" s="51" t="s">
        <v>983</v>
      </c>
      <c r="H1277" s="51" t="s">
        <v>423</v>
      </c>
      <c r="I1277" s="48">
        <v>150000</v>
      </c>
      <c r="J1277" s="48">
        <f>I1277/0.75</f>
        <v>200000</v>
      </c>
    </row>
    <row r="1278" spans="1:10" ht="33.75">
      <c r="A1278" s="24" t="s">
        <v>563</v>
      </c>
      <c r="B1278" s="6">
        <v>3</v>
      </c>
      <c r="C1278" s="6">
        <v>2</v>
      </c>
      <c r="D1278" s="33" t="s">
        <v>926</v>
      </c>
      <c r="E1278" s="24" t="s">
        <v>927</v>
      </c>
      <c r="F1278" s="24"/>
      <c r="G1278" s="6"/>
      <c r="H1278" s="6"/>
      <c r="I1278" s="34">
        <f>SUBTOTAL(9,I1274:I1277)</f>
        <v>1985161.7</v>
      </c>
      <c r="J1278" s="34">
        <f>SUBTOTAL(9,J1274:J1277)</f>
        <v>2646882.2666666666</v>
      </c>
    </row>
    <row r="1279" spans="1:10" ht="33.75">
      <c r="A1279" s="19" t="s">
        <v>807</v>
      </c>
      <c r="B1279" s="17">
        <v>3</v>
      </c>
      <c r="C1279" s="15">
        <v>3</v>
      </c>
      <c r="D1279" s="14" t="s">
        <v>960</v>
      </c>
      <c r="E1279" s="14" t="s">
        <v>961</v>
      </c>
      <c r="F1279" s="19" t="s">
        <v>962</v>
      </c>
      <c r="G1279" s="8" t="s">
        <v>983</v>
      </c>
      <c r="H1279" s="15" t="s">
        <v>423</v>
      </c>
      <c r="I1279" s="16">
        <v>300002</v>
      </c>
      <c r="J1279" s="16">
        <v>225001.5</v>
      </c>
    </row>
    <row r="1280" spans="1:10" ht="33.75">
      <c r="A1280" s="19" t="s">
        <v>807</v>
      </c>
      <c r="B1280" s="17">
        <v>3</v>
      </c>
      <c r="C1280" s="15">
        <v>3</v>
      </c>
      <c r="D1280" s="14" t="s">
        <v>960</v>
      </c>
      <c r="E1280" s="14" t="s">
        <v>961</v>
      </c>
      <c r="F1280" s="20" t="s">
        <v>293</v>
      </c>
      <c r="G1280" s="8" t="s">
        <v>983</v>
      </c>
      <c r="H1280" s="18" t="s">
        <v>330</v>
      </c>
      <c r="I1280" s="16">
        <v>255021</v>
      </c>
      <c r="J1280" s="16">
        <v>191265.75</v>
      </c>
    </row>
    <row r="1281" spans="1:10" ht="33.75">
      <c r="A1281" s="19" t="s">
        <v>807</v>
      </c>
      <c r="B1281" s="17">
        <v>3</v>
      </c>
      <c r="C1281" s="15">
        <v>3</v>
      </c>
      <c r="D1281" s="14" t="s">
        <v>960</v>
      </c>
      <c r="E1281" s="14" t="s">
        <v>961</v>
      </c>
      <c r="F1281" s="19" t="s">
        <v>721</v>
      </c>
      <c r="G1281" s="2" t="s">
        <v>984</v>
      </c>
      <c r="H1281" s="15" t="s">
        <v>423</v>
      </c>
      <c r="I1281" s="16">
        <v>200996</v>
      </c>
      <c r="J1281" s="16">
        <v>150747</v>
      </c>
    </row>
    <row r="1282" spans="1:10" ht="33.75">
      <c r="A1282" s="24" t="s">
        <v>807</v>
      </c>
      <c r="B1282" s="6">
        <v>3</v>
      </c>
      <c r="C1282" s="6">
        <v>3</v>
      </c>
      <c r="D1282" s="7" t="s">
        <v>960</v>
      </c>
      <c r="E1282" s="24" t="s">
        <v>961</v>
      </c>
      <c r="F1282" s="24"/>
      <c r="G1282" s="6"/>
      <c r="H1282" s="6"/>
      <c r="I1282" s="13">
        <v>756019</v>
      </c>
      <c r="J1282" s="13">
        <v>567014.25</v>
      </c>
    </row>
    <row r="1283" spans="1:10" ht="67.5">
      <c r="A1283" s="3" t="s">
        <v>1003</v>
      </c>
      <c r="B1283" s="15">
        <v>3</v>
      </c>
      <c r="C1283" s="46">
        <v>1</v>
      </c>
      <c r="D1283" s="47" t="s">
        <v>929</v>
      </c>
      <c r="E1283" s="1" t="s">
        <v>930</v>
      </c>
      <c r="F1283" s="55" t="s">
        <v>931</v>
      </c>
      <c r="G1283" s="53" t="s">
        <v>983</v>
      </c>
      <c r="H1283" s="53" t="s">
        <v>330</v>
      </c>
      <c r="I1283" s="48">
        <v>170625</v>
      </c>
      <c r="J1283" s="48">
        <f>I1283/0.75</f>
        <v>227500</v>
      </c>
    </row>
    <row r="1284" spans="1:10" ht="67.5">
      <c r="A1284" s="3" t="s">
        <v>1003</v>
      </c>
      <c r="B1284" s="15">
        <v>3</v>
      </c>
      <c r="C1284" s="46">
        <v>1</v>
      </c>
      <c r="D1284" s="47" t="s">
        <v>929</v>
      </c>
      <c r="E1284" s="1" t="s">
        <v>930</v>
      </c>
      <c r="F1284" s="47" t="s">
        <v>932</v>
      </c>
      <c r="G1284" s="53" t="s">
        <v>984</v>
      </c>
      <c r="H1284" s="53" t="s">
        <v>423</v>
      </c>
      <c r="I1284" s="48">
        <v>35000</v>
      </c>
      <c r="J1284" s="48">
        <f>I1284/0.75</f>
        <v>46666.666666666664</v>
      </c>
    </row>
    <row r="1285" spans="1:10" ht="67.5">
      <c r="A1285" s="3" t="s">
        <v>1003</v>
      </c>
      <c r="B1285" s="15">
        <v>3</v>
      </c>
      <c r="C1285" s="46">
        <v>1</v>
      </c>
      <c r="D1285" s="47" t="s">
        <v>929</v>
      </c>
      <c r="E1285" s="1" t="s">
        <v>930</v>
      </c>
      <c r="F1285" s="47" t="s">
        <v>572</v>
      </c>
      <c r="G1285" s="53" t="s">
        <v>984</v>
      </c>
      <c r="H1285" s="53" t="s">
        <v>423</v>
      </c>
      <c r="I1285" s="48">
        <v>24999.75</v>
      </c>
      <c r="J1285" s="48">
        <f>I1285/0.75</f>
        <v>33333</v>
      </c>
    </row>
    <row r="1286" spans="1:10" ht="67.5">
      <c r="A1286" s="24" t="s">
        <v>1003</v>
      </c>
      <c r="B1286" s="6">
        <v>3</v>
      </c>
      <c r="C1286" s="6">
        <v>1</v>
      </c>
      <c r="D1286" s="33" t="s">
        <v>929</v>
      </c>
      <c r="E1286" s="24" t="s">
        <v>930</v>
      </c>
      <c r="F1286" s="24"/>
      <c r="G1286" s="6"/>
      <c r="H1286" s="6"/>
      <c r="I1286" s="34">
        <f>SUBTOTAL(9,I1283:I1285)</f>
        <v>230624.75</v>
      </c>
      <c r="J1286" s="34">
        <f>SUBTOTAL(9,J1283:J1285)</f>
        <v>307499.6666666667</v>
      </c>
    </row>
    <row r="1287" spans="1:10" ht="45">
      <c r="A1287" s="3" t="s">
        <v>565</v>
      </c>
      <c r="B1287" s="15">
        <v>3</v>
      </c>
      <c r="C1287" s="46">
        <v>1</v>
      </c>
      <c r="D1287" s="47" t="s">
        <v>933</v>
      </c>
      <c r="E1287" s="1" t="s">
        <v>934</v>
      </c>
      <c r="F1287" s="47" t="s">
        <v>879</v>
      </c>
      <c r="G1287" s="53" t="s">
        <v>984</v>
      </c>
      <c r="H1287" s="53" t="s">
        <v>423</v>
      </c>
      <c r="I1287" s="48">
        <v>44999.42</v>
      </c>
      <c r="J1287" s="48">
        <f>I1287/0.75</f>
        <v>59999.22666666666</v>
      </c>
    </row>
    <row r="1288" spans="1:10" ht="45">
      <c r="A1288" s="3" t="s">
        <v>565</v>
      </c>
      <c r="B1288" s="15">
        <v>3</v>
      </c>
      <c r="C1288" s="46">
        <v>1</v>
      </c>
      <c r="D1288" s="47" t="s">
        <v>933</v>
      </c>
      <c r="E1288" s="1" t="s">
        <v>934</v>
      </c>
      <c r="F1288" s="47" t="s">
        <v>434</v>
      </c>
      <c r="G1288" s="53" t="s">
        <v>984</v>
      </c>
      <c r="H1288" s="53" t="s">
        <v>423</v>
      </c>
      <c r="I1288" s="48">
        <v>100000</v>
      </c>
      <c r="J1288" s="48">
        <f>I1288/0.75</f>
        <v>133333.33333333334</v>
      </c>
    </row>
    <row r="1289" spans="1:10" ht="45">
      <c r="A1289" s="3" t="s">
        <v>565</v>
      </c>
      <c r="B1289" s="15">
        <v>3</v>
      </c>
      <c r="C1289" s="46">
        <v>1</v>
      </c>
      <c r="D1289" s="47" t="s">
        <v>933</v>
      </c>
      <c r="E1289" s="1" t="s">
        <v>934</v>
      </c>
      <c r="F1289" s="55" t="s">
        <v>653</v>
      </c>
      <c r="G1289" s="53" t="s">
        <v>983</v>
      </c>
      <c r="H1289" s="53" t="s">
        <v>330</v>
      </c>
      <c r="I1289" s="48">
        <v>65733.55</v>
      </c>
      <c r="J1289" s="48">
        <f>I1289/0.75</f>
        <v>87644.73333333334</v>
      </c>
    </row>
    <row r="1290" spans="1:10" ht="45">
      <c r="A1290" s="24" t="s">
        <v>565</v>
      </c>
      <c r="B1290" s="6">
        <v>3</v>
      </c>
      <c r="C1290" s="6">
        <v>1</v>
      </c>
      <c r="D1290" s="33" t="s">
        <v>933</v>
      </c>
      <c r="E1290" s="24" t="s">
        <v>934</v>
      </c>
      <c r="F1290" s="24"/>
      <c r="G1290" s="6"/>
      <c r="H1290" s="6"/>
      <c r="I1290" s="34">
        <f>SUBTOTAL(9,I1287:I1289)</f>
        <v>210732.96999999997</v>
      </c>
      <c r="J1290" s="34">
        <f>SUBTOTAL(9,J1287:J1289)</f>
        <v>280977.29333333333</v>
      </c>
    </row>
    <row r="1291" spans="1:10" ht="33.75">
      <c r="A1291" s="3" t="s">
        <v>1003</v>
      </c>
      <c r="B1291" s="15">
        <v>3</v>
      </c>
      <c r="C1291" s="46">
        <v>2</v>
      </c>
      <c r="D1291" s="47" t="s">
        <v>935</v>
      </c>
      <c r="E1291" s="1" t="s">
        <v>936</v>
      </c>
      <c r="F1291" s="55" t="s">
        <v>615</v>
      </c>
      <c r="G1291" s="53" t="s">
        <v>983</v>
      </c>
      <c r="H1291" s="53" t="s">
        <v>330</v>
      </c>
      <c r="I1291" s="48">
        <v>225000</v>
      </c>
      <c r="J1291" s="48">
        <f>I1291/0.75</f>
        <v>300000</v>
      </c>
    </row>
    <row r="1292" spans="1:10" ht="33.75">
      <c r="A1292" s="3" t="s">
        <v>1003</v>
      </c>
      <c r="B1292" s="15">
        <v>3</v>
      </c>
      <c r="C1292" s="46">
        <v>2</v>
      </c>
      <c r="D1292" s="47" t="s">
        <v>935</v>
      </c>
      <c r="E1292" s="1" t="s">
        <v>936</v>
      </c>
      <c r="F1292" s="47" t="s">
        <v>263</v>
      </c>
      <c r="G1292" s="53" t="s">
        <v>984</v>
      </c>
      <c r="H1292" s="53" t="s">
        <v>423</v>
      </c>
      <c r="I1292" s="48">
        <v>112500</v>
      </c>
      <c r="J1292" s="48">
        <f>I1292/0.75</f>
        <v>150000</v>
      </c>
    </row>
    <row r="1293" spans="1:10" ht="33.75">
      <c r="A1293" s="24" t="s">
        <v>1003</v>
      </c>
      <c r="B1293" s="6">
        <v>3</v>
      </c>
      <c r="C1293" s="6">
        <v>2</v>
      </c>
      <c r="D1293" s="33" t="s">
        <v>935</v>
      </c>
      <c r="E1293" s="24" t="s">
        <v>936</v>
      </c>
      <c r="F1293" s="24"/>
      <c r="G1293" s="6"/>
      <c r="H1293" s="6"/>
      <c r="I1293" s="34">
        <f>SUBTOTAL(9,I1291:I1292)</f>
        <v>337500</v>
      </c>
      <c r="J1293" s="34">
        <f>SUBTOTAL(9,J1291:J1292)</f>
        <v>450000</v>
      </c>
    </row>
    <row r="1294" spans="1:10" ht="45">
      <c r="A1294" s="3" t="s">
        <v>1003</v>
      </c>
      <c r="B1294" s="15">
        <v>3</v>
      </c>
      <c r="C1294" s="46">
        <v>1</v>
      </c>
      <c r="D1294" s="47" t="s">
        <v>937</v>
      </c>
      <c r="E1294" s="1" t="s">
        <v>938</v>
      </c>
      <c r="F1294" s="49" t="s">
        <v>958</v>
      </c>
      <c r="G1294" s="53" t="s">
        <v>983</v>
      </c>
      <c r="H1294" s="53" t="s">
        <v>330</v>
      </c>
      <c r="I1294" s="48">
        <f>1359198-372537.99</f>
        <v>986660.01</v>
      </c>
      <c r="J1294" s="48">
        <f>I1294/0.75</f>
        <v>1315546.68</v>
      </c>
    </row>
    <row r="1295" spans="1:10" ht="45">
      <c r="A1295" s="3" t="s">
        <v>1003</v>
      </c>
      <c r="B1295" s="15">
        <v>3</v>
      </c>
      <c r="C1295" s="46">
        <v>1</v>
      </c>
      <c r="D1295" s="47" t="s">
        <v>937</v>
      </c>
      <c r="E1295" s="1" t="s">
        <v>938</v>
      </c>
      <c r="F1295" s="49" t="s">
        <v>970</v>
      </c>
      <c r="G1295" s="53" t="s">
        <v>983</v>
      </c>
      <c r="H1295" s="53" t="s">
        <v>423</v>
      </c>
      <c r="I1295" s="48">
        <f>0+372537.99</f>
        <v>372537.99</v>
      </c>
      <c r="J1295" s="48">
        <f>I1295/0.75</f>
        <v>496717.32</v>
      </c>
    </row>
    <row r="1296" spans="1:10" ht="45">
      <c r="A1296" s="3" t="s">
        <v>1003</v>
      </c>
      <c r="B1296" s="15">
        <v>3</v>
      </c>
      <c r="C1296" s="46">
        <v>1</v>
      </c>
      <c r="D1296" s="47" t="s">
        <v>937</v>
      </c>
      <c r="E1296" s="1" t="s">
        <v>938</v>
      </c>
      <c r="F1296" s="47" t="s">
        <v>648</v>
      </c>
      <c r="G1296" s="53" t="s">
        <v>984</v>
      </c>
      <c r="H1296" s="53" t="s">
        <v>423</v>
      </c>
      <c r="I1296" s="48">
        <v>749735.25</v>
      </c>
      <c r="J1296" s="48">
        <f>I1296/0.75</f>
        <v>999647</v>
      </c>
    </row>
    <row r="1297" spans="1:10" ht="45">
      <c r="A1297" s="24" t="s">
        <v>1003</v>
      </c>
      <c r="B1297" s="6">
        <v>3</v>
      </c>
      <c r="C1297" s="6">
        <v>1</v>
      </c>
      <c r="D1297" s="33" t="s">
        <v>937</v>
      </c>
      <c r="E1297" s="24" t="s">
        <v>938</v>
      </c>
      <c r="F1297" s="24"/>
      <c r="G1297" s="6"/>
      <c r="H1297" s="6"/>
      <c r="I1297" s="34">
        <f>SUBTOTAL(9,I1294:I1296)</f>
        <v>2108933.25</v>
      </c>
      <c r="J1297" s="34">
        <f>SUBTOTAL(9,J1294:J1296)</f>
        <v>2811911</v>
      </c>
    </row>
    <row r="1298" spans="1:10" ht="33.75">
      <c r="A1298" s="3" t="s">
        <v>1003</v>
      </c>
      <c r="B1298" s="15">
        <v>3</v>
      </c>
      <c r="C1298" s="46">
        <v>1</v>
      </c>
      <c r="D1298" s="47" t="s">
        <v>939</v>
      </c>
      <c r="E1298" s="1" t="s">
        <v>940</v>
      </c>
      <c r="F1298" s="55" t="s">
        <v>558</v>
      </c>
      <c r="G1298" s="53" t="s">
        <v>983</v>
      </c>
      <c r="H1298" s="53" t="s">
        <v>330</v>
      </c>
      <c r="I1298" s="48">
        <v>168087.86</v>
      </c>
      <c r="J1298" s="48">
        <f>I1298/0.75</f>
        <v>224117.14666666664</v>
      </c>
    </row>
    <row r="1299" spans="1:10" ht="33.75">
      <c r="A1299" s="3" t="s">
        <v>1003</v>
      </c>
      <c r="B1299" s="15">
        <v>3</v>
      </c>
      <c r="C1299" s="46">
        <v>1</v>
      </c>
      <c r="D1299" s="47" t="s">
        <v>939</v>
      </c>
      <c r="E1299" s="1" t="s">
        <v>940</v>
      </c>
      <c r="F1299" s="47" t="s">
        <v>743</v>
      </c>
      <c r="G1299" s="53" t="s">
        <v>983</v>
      </c>
      <c r="H1299" s="53" t="s">
        <v>423</v>
      </c>
      <c r="I1299" s="48">
        <v>107334</v>
      </c>
      <c r="J1299" s="48">
        <f>I1299/0.75</f>
        <v>143112</v>
      </c>
    </row>
    <row r="1300" spans="1:10" ht="33.75">
      <c r="A1300" s="3" t="s">
        <v>1003</v>
      </c>
      <c r="B1300" s="15">
        <v>3</v>
      </c>
      <c r="C1300" s="46">
        <v>1</v>
      </c>
      <c r="D1300" s="47" t="s">
        <v>939</v>
      </c>
      <c r="E1300" s="1" t="s">
        <v>940</v>
      </c>
      <c r="F1300" s="47" t="s">
        <v>430</v>
      </c>
      <c r="G1300" s="53" t="s">
        <v>984</v>
      </c>
      <c r="H1300" s="53" t="s">
        <v>423</v>
      </c>
      <c r="I1300" s="48">
        <v>48000</v>
      </c>
      <c r="J1300" s="48">
        <f>I1300/0.75</f>
        <v>64000</v>
      </c>
    </row>
    <row r="1301" spans="1:10" ht="33.75">
      <c r="A1301" s="3" t="s">
        <v>1003</v>
      </c>
      <c r="B1301" s="15">
        <v>3</v>
      </c>
      <c r="C1301" s="46">
        <v>1</v>
      </c>
      <c r="D1301" s="47" t="s">
        <v>939</v>
      </c>
      <c r="E1301" s="1" t="s">
        <v>940</v>
      </c>
      <c r="F1301" s="47" t="s">
        <v>941</v>
      </c>
      <c r="G1301" s="53" t="s">
        <v>984</v>
      </c>
      <c r="H1301" s="53" t="s">
        <v>423</v>
      </c>
      <c r="I1301" s="48">
        <v>46500</v>
      </c>
      <c r="J1301" s="48">
        <f>I1301/0.75</f>
        <v>62000</v>
      </c>
    </row>
    <row r="1302" spans="1:10" ht="33.75">
      <c r="A1302" s="24" t="s">
        <v>1003</v>
      </c>
      <c r="B1302" s="6">
        <v>3</v>
      </c>
      <c r="C1302" s="6">
        <v>1</v>
      </c>
      <c r="D1302" s="33" t="s">
        <v>939</v>
      </c>
      <c r="E1302" s="24" t="s">
        <v>940</v>
      </c>
      <c r="F1302" s="24"/>
      <c r="G1302" s="6"/>
      <c r="H1302" s="6"/>
      <c r="I1302" s="34">
        <f>SUBTOTAL(9,I1298:I1301)</f>
        <v>369921.86</v>
      </c>
      <c r="J1302" s="34">
        <f>SUBTOTAL(9,J1298:J1301)</f>
        <v>493229.1466666666</v>
      </c>
    </row>
    <row r="1303" spans="1:10" ht="22.5">
      <c r="A1303" s="19" t="s">
        <v>807</v>
      </c>
      <c r="B1303" s="17">
        <v>3</v>
      </c>
      <c r="C1303" s="15">
        <v>3</v>
      </c>
      <c r="D1303" s="14" t="s">
        <v>959</v>
      </c>
      <c r="E1303" s="14" t="s">
        <v>57</v>
      </c>
      <c r="F1303" s="20" t="s">
        <v>838</v>
      </c>
      <c r="G1303" s="2" t="s">
        <v>984</v>
      </c>
      <c r="H1303" s="18" t="s">
        <v>330</v>
      </c>
      <c r="I1303" s="16">
        <v>133500</v>
      </c>
      <c r="J1303" s="16">
        <v>100125</v>
      </c>
    </row>
    <row r="1304" spans="1:10" ht="22.5">
      <c r="A1304" s="24" t="s">
        <v>807</v>
      </c>
      <c r="B1304" s="6">
        <v>3</v>
      </c>
      <c r="C1304" s="6">
        <v>3</v>
      </c>
      <c r="D1304" s="7" t="s">
        <v>959</v>
      </c>
      <c r="E1304" s="24" t="s">
        <v>57</v>
      </c>
      <c r="F1304" s="24"/>
      <c r="G1304" s="6"/>
      <c r="H1304" s="6"/>
      <c r="I1304" s="13">
        <v>133500</v>
      </c>
      <c r="J1304" s="13">
        <v>100125</v>
      </c>
    </row>
    <row r="1305" spans="1:10" ht="33.75">
      <c r="A1305" s="3" t="s">
        <v>1003</v>
      </c>
      <c r="B1305" s="15">
        <v>3</v>
      </c>
      <c r="C1305" s="46">
        <v>2</v>
      </c>
      <c r="D1305" s="47" t="s">
        <v>942</v>
      </c>
      <c r="E1305" s="1" t="s">
        <v>943</v>
      </c>
      <c r="F1305" s="55" t="s">
        <v>784</v>
      </c>
      <c r="G1305" s="53" t="s">
        <v>984</v>
      </c>
      <c r="H1305" s="53" t="s">
        <v>330</v>
      </c>
      <c r="I1305" s="48">
        <v>442500</v>
      </c>
      <c r="J1305" s="48">
        <f aca="true" t="shared" si="43" ref="J1305:J1312">I1305/0.75</f>
        <v>590000</v>
      </c>
    </row>
    <row r="1306" spans="1:10" ht="33.75">
      <c r="A1306" s="3" t="s">
        <v>1003</v>
      </c>
      <c r="B1306" s="15">
        <v>3</v>
      </c>
      <c r="C1306" s="46">
        <v>2</v>
      </c>
      <c r="D1306" s="47" t="s">
        <v>942</v>
      </c>
      <c r="E1306" s="1" t="s">
        <v>943</v>
      </c>
      <c r="F1306" s="47" t="s">
        <v>239</v>
      </c>
      <c r="G1306" s="53" t="s">
        <v>984</v>
      </c>
      <c r="H1306" s="53" t="s">
        <v>423</v>
      </c>
      <c r="I1306" s="48">
        <v>60000</v>
      </c>
      <c r="J1306" s="48">
        <f t="shared" si="43"/>
        <v>80000</v>
      </c>
    </row>
    <row r="1307" spans="1:10" ht="33.75">
      <c r="A1307" s="3" t="s">
        <v>1003</v>
      </c>
      <c r="B1307" s="15">
        <v>3</v>
      </c>
      <c r="C1307" s="46">
        <v>2</v>
      </c>
      <c r="D1307" s="47" t="s">
        <v>942</v>
      </c>
      <c r="E1307" s="1" t="s">
        <v>943</v>
      </c>
      <c r="F1307" s="47" t="s">
        <v>944</v>
      </c>
      <c r="G1307" s="53" t="s">
        <v>984</v>
      </c>
      <c r="H1307" s="53" t="s">
        <v>423</v>
      </c>
      <c r="I1307" s="48">
        <v>0</v>
      </c>
      <c r="J1307" s="48">
        <f t="shared" si="43"/>
        <v>0</v>
      </c>
    </row>
    <row r="1308" spans="1:10" ht="33.75">
      <c r="A1308" s="3" t="s">
        <v>1003</v>
      </c>
      <c r="B1308" s="15">
        <v>3</v>
      </c>
      <c r="C1308" s="46">
        <v>2</v>
      </c>
      <c r="D1308" s="47" t="s">
        <v>942</v>
      </c>
      <c r="E1308" s="1" t="s">
        <v>943</v>
      </c>
      <c r="F1308" s="47" t="s">
        <v>40</v>
      </c>
      <c r="G1308" s="53" t="s">
        <v>984</v>
      </c>
      <c r="H1308" s="53" t="s">
        <v>423</v>
      </c>
      <c r="I1308" s="48">
        <v>60000</v>
      </c>
      <c r="J1308" s="48">
        <f t="shared" si="43"/>
        <v>80000</v>
      </c>
    </row>
    <row r="1309" spans="1:10" ht="33.75">
      <c r="A1309" s="3" t="s">
        <v>1003</v>
      </c>
      <c r="B1309" s="15">
        <v>3</v>
      </c>
      <c r="C1309" s="46">
        <v>2</v>
      </c>
      <c r="D1309" s="47" t="s">
        <v>942</v>
      </c>
      <c r="E1309" s="1" t="s">
        <v>943</v>
      </c>
      <c r="F1309" s="47" t="s">
        <v>429</v>
      </c>
      <c r="G1309" s="53" t="s">
        <v>983</v>
      </c>
      <c r="H1309" s="53" t="s">
        <v>423</v>
      </c>
      <c r="I1309" s="48">
        <v>225000</v>
      </c>
      <c r="J1309" s="48">
        <f t="shared" si="43"/>
        <v>300000</v>
      </c>
    </row>
    <row r="1310" spans="1:10" ht="33.75">
      <c r="A1310" s="3" t="s">
        <v>1003</v>
      </c>
      <c r="B1310" s="15">
        <v>3</v>
      </c>
      <c r="C1310" s="46">
        <v>2</v>
      </c>
      <c r="D1310" s="47" t="s">
        <v>942</v>
      </c>
      <c r="E1310" s="1" t="s">
        <v>943</v>
      </c>
      <c r="F1310" s="47" t="s">
        <v>647</v>
      </c>
      <c r="G1310" s="53" t="s">
        <v>984</v>
      </c>
      <c r="H1310" s="53" t="s">
        <v>423</v>
      </c>
      <c r="I1310" s="48">
        <v>60000</v>
      </c>
      <c r="J1310" s="48">
        <f t="shared" si="43"/>
        <v>80000</v>
      </c>
    </row>
    <row r="1311" spans="1:10" ht="33.75">
      <c r="A1311" s="3" t="s">
        <v>1003</v>
      </c>
      <c r="B1311" s="15">
        <v>3</v>
      </c>
      <c r="C1311" s="46">
        <v>2</v>
      </c>
      <c r="D1311" s="47" t="s">
        <v>942</v>
      </c>
      <c r="E1311" s="1" t="s">
        <v>943</v>
      </c>
      <c r="F1311" s="47" t="s">
        <v>411</v>
      </c>
      <c r="G1311" s="53" t="s">
        <v>984</v>
      </c>
      <c r="H1311" s="53" t="s">
        <v>423</v>
      </c>
      <c r="I1311" s="48">
        <v>52500</v>
      </c>
      <c r="J1311" s="48">
        <f t="shared" si="43"/>
        <v>70000</v>
      </c>
    </row>
    <row r="1312" spans="1:10" ht="33.75">
      <c r="A1312" s="3" t="s">
        <v>1003</v>
      </c>
      <c r="B1312" s="15">
        <v>3</v>
      </c>
      <c r="C1312" s="46">
        <v>2</v>
      </c>
      <c r="D1312" s="47" t="s">
        <v>942</v>
      </c>
      <c r="E1312" s="1" t="s">
        <v>943</v>
      </c>
      <c r="F1312" s="49" t="s">
        <v>945</v>
      </c>
      <c r="G1312" s="53" t="s">
        <v>984</v>
      </c>
      <c r="H1312" s="53" t="s">
        <v>423</v>
      </c>
      <c r="I1312" s="48">
        <v>0</v>
      </c>
      <c r="J1312" s="48">
        <f t="shared" si="43"/>
        <v>0</v>
      </c>
    </row>
    <row r="1313" spans="1:10" ht="33.75">
      <c r="A1313" s="24" t="s">
        <v>1003</v>
      </c>
      <c r="B1313" s="6">
        <v>3</v>
      </c>
      <c r="C1313" s="6">
        <v>2</v>
      </c>
      <c r="D1313" s="33" t="s">
        <v>942</v>
      </c>
      <c r="E1313" s="24" t="s">
        <v>943</v>
      </c>
      <c r="F1313" s="24"/>
      <c r="G1313" s="6"/>
      <c r="H1313" s="6"/>
      <c r="I1313" s="34">
        <f>SUBTOTAL(9,I1305:I1312)</f>
        <v>900000</v>
      </c>
      <c r="J1313" s="34">
        <f>SUBTOTAL(9,J1305:J1312)</f>
        <v>1200000</v>
      </c>
    </row>
    <row r="1314" spans="1:10" ht="33.75">
      <c r="A1314" s="3" t="s">
        <v>1003</v>
      </c>
      <c r="B1314" s="15">
        <v>3</v>
      </c>
      <c r="C1314" s="46">
        <v>2</v>
      </c>
      <c r="D1314" s="47" t="s">
        <v>946</v>
      </c>
      <c r="E1314" s="1" t="s">
        <v>947</v>
      </c>
      <c r="F1314" s="55" t="s">
        <v>567</v>
      </c>
      <c r="G1314" s="53" t="s">
        <v>984</v>
      </c>
      <c r="H1314" s="53" t="s">
        <v>330</v>
      </c>
      <c r="I1314" s="48">
        <v>339081</v>
      </c>
      <c r="J1314" s="48">
        <f>I1314/0.75</f>
        <v>452108</v>
      </c>
    </row>
    <row r="1315" spans="1:10" ht="33.75">
      <c r="A1315" s="3" t="s">
        <v>1003</v>
      </c>
      <c r="B1315" s="15">
        <v>3</v>
      </c>
      <c r="C1315" s="46">
        <v>2</v>
      </c>
      <c r="D1315" s="47" t="s">
        <v>946</v>
      </c>
      <c r="E1315" s="1" t="s">
        <v>947</v>
      </c>
      <c r="F1315" s="47" t="s">
        <v>427</v>
      </c>
      <c r="G1315" s="53" t="s">
        <v>983</v>
      </c>
      <c r="H1315" s="53" t="s">
        <v>423</v>
      </c>
      <c r="I1315" s="48">
        <v>156375</v>
      </c>
      <c r="J1315" s="48">
        <f>I1315/0.75</f>
        <v>208500</v>
      </c>
    </row>
    <row r="1316" spans="1:10" ht="33.75">
      <c r="A1316" s="3" t="s">
        <v>1003</v>
      </c>
      <c r="B1316" s="15">
        <v>3</v>
      </c>
      <c r="C1316" s="46">
        <v>2</v>
      </c>
      <c r="D1316" s="47" t="s">
        <v>946</v>
      </c>
      <c r="E1316" s="1" t="s">
        <v>947</v>
      </c>
      <c r="F1316" s="47" t="s">
        <v>575</v>
      </c>
      <c r="G1316" s="53" t="s">
        <v>983</v>
      </c>
      <c r="H1316" s="53" t="s">
        <v>423</v>
      </c>
      <c r="I1316" s="48">
        <v>84078.75</v>
      </c>
      <c r="J1316" s="48">
        <f>I1316/0.75</f>
        <v>112105</v>
      </c>
    </row>
    <row r="1317" spans="1:10" ht="33.75">
      <c r="A1317" s="3" t="s">
        <v>1003</v>
      </c>
      <c r="B1317" s="15">
        <v>3</v>
      </c>
      <c r="C1317" s="46">
        <v>2</v>
      </c>
      <c r="D1317" s="47" t="s">
        <v>946</v>
      </c>
      <c r="E1317" s="1" t="s">
        <v>947</v>
      </c>
      <c r="F1317" s="47" t="s">
        <v>428</v>
      </c>
      <c r="G1317" s="53" t="s">
        <v>983</v>
      </c>
      <c r="H1317" s="53" t="s">
        <v>423</v>
      </c>
      <c r="I1317" s="48">
        <v>108825</v>
      </c>
      <c r="J1317" s="48">
        <f>I1317/0.75</f>
        <v>145100</v>
      </c>
    </row>
    <row r="1318" spans="1:10" ht="33.75">
      <c r="A1318" s="24" t="s">
        <v>1003</v>
      </c>
      <c r="B1318" s="6">
        <v>3</v>
      </c>
      <c r="C1318" s="6">
        <v>2</v>
      </c>
      <c r="D1318" s="33" t="s">
        <v>946</v>
      </c>
      <c r="E1318" s="24" t="s">
        <v>947</v>
      </c>
      <c r="F1318" s="24"/>
      <c r="G1318" s="6"/>
      <c r="H1318" s="6"/>
      <c r="I1318" s="34">
        <f>SUBTOTAL(9,I1314:I1317)</f>
        <v>688359.75</v>
      </c>
      <c r="J1318" s="34">
        <f>SUBTOTAL(9,J1314:J1317)</f>
        <v>917813</v>
      </c>
    </row>
    <row r="1319" spans="1:10" ht="45">
      <c r="A1319" s="3" t="s">
        <v>562</v>
      </c>
      <c r="B1319" s="15">
        <v>3</v>
      </c>
      <c r="C1319" s="46">
        <v>1</v>
      </c>
      <c r="D1319" s="47" t="s">
        <v>948</v>
      </c>
      <c r="E1319" s="1" t="s">
        <v>949</v>
      </c>
      <c r="F1319" s="55" t="s">
        <v>596</v>
      </c>
      <c r="G1319" s="53" t="s">
        <v>984</v>
      </c>
      <c r="H1319" s="53" t="s">
        <v>330</v>
      </c>
      <c r="I1319" s="48">
        <v>123531.65</v>
      </c>
      <c r="J1319" s="48">
        <f aca="true" t="shared" si="44" ref="J1319:J1326">I1319/0.75</f>
        <v>164708.86666666667</v>
      </c>
    </row>
    <row r="1320" spans="1:10" ht="45">
      <c r="A1320" s="3" t="s">
        <v>562</v>
      </c>
      <c r="B1320" s="15">
        <v>3</v>
      </c>
      <c r="C1320" s="46">
        <v>1</v>
      </c>
      <c r="D1320" s="47" t="s">
        <v>948</v>
      </c>
      <c r="E1320" s="1" t="s">
        <v>949</v>
      </c>
      <c r="F1320" s="47" t="s">
        <v>598</v>
      </c>
      <c r="G1320" s="53" t="s">
        <v>984</v>
      </c>
      <c r="H1320" s="53" t="s">
        <v>423</v>
      </c>
      <c r="I1320" s="48">
        <v>102479.81</v>
      </c>
      <c r="J1320" s="48">
        <f t="shared" si="44"/>
        <v>136639.74666666667</v>
      </c>
    </row>
    <row r="1321" spans="1:10" ht="45">
      <c r="A1321" s="3" t="s">
        <v>562</v>
      </c>
      <c r="B1321" s="15">
        <v>3</v>
      </c>
      <c r="C1321" s="46">
        <v>1</v>
      </c>
      <c r="D1321" s="47" t="s">
        <v>948</v>
      </c>
      <c r="E1321" s="1" t="s">
        <v>949</v>
      </c>
      <c r="F1321" s="47" t="s">
        <v>599</v>
      </c>
      <c r="G1321" s="53" t="s">
        <v>983</v>
      </c>
      <c r="H1321" s="53" t="s">
        <v>423</v>
      </c>
      <c r="I1321" s="48">
        <v>90554.25</v>
      </c>
      <c r="J1321" s="48">
        <f t="shared" si="44"/>
        <v>120739</v>
      </c>
    </row>
    <row r="1322" spans="1:10" ht="45">
      <c r="A1322" s="3" t="s">
        <v>562</v>
      </c>
      <c r="B1322" s="15">
        <v>3</v>
      </c>
      <c r="C1322" s="46">
        <v>1</v>
      </c>
      <c r="D1322" s="47" t="s">
        <v>948</v>
      </c>
      <c r="E1322" s="1" t="s">
        <v>949</v>
      </c>
      <c r="F1322" s="47" t="s">
        <v>560</v>
      </c>
      <c r="G1322" s="53" t="s">
        <v>983</v>
      </c>
      <c r="H1322" s="53" t="s">
        <v>423</v>
      </c>
      <c r="I1322" s="48">
        <v>91339</v>
      </c>
      <c r="J1322" s="48">
        <f t="shared" si="44"/>
        <v>121785.33333333333</v>
      </c>
    </row>
    <row r="1323" spans="1:10" ht="45">
      <c r="A1323" s="3" t="s">
        <v>562</v>
      </c>
      <c r="B1323" s="15">
        <v>3</v>
      </c>
      <c r="C1323" s="46">
        <v>1</v>
      </c>
      <c r="D1323" s="47" t="s">
        <v>948</v>
      </c>
      <c r="E1323" s="1" t="s">
        <v>949</v>
      </c>
      <c r="F1323" s="47" t="s">
        <v>307</v>
      </c>
      <c r="G1323" s="53" t="s">
        <v>983</v>
      </c>
      <c r="H1323" s="53" t="s">
        <v>423</v>
      </c>
      <c r="I1323" s="48">
        <v>128276.25</v>
      </c>
      <c r="J1323" s="48">
        <f t="shared" si="44"/>
        <v>171035</v>
      </c>
    </row>
    <row r="1324" spans="1:10" ht="45">
      <c r="A1324" s="3" t="s">
        <v>562</v>
      </c>
      <c r="B1324" s="15">
        <v>3</v>
      </c>
      <c r="C1324" s="46">
        <v>1</v>
      </c>
      <c r="D1324" s="47" t="s">
        <v>948</v>
      </c>
      <c r="E1324" s="1" t="s">
        <v>949</v>
      </c>
      <c r="F1324" s="47" t="s">
        <v>338</v>
      </c>
      <c r="G1324" s="53" t="s">
        <v>983</v>
      </c>
      <c r="H1324" s="53" t="s">
        <v>423</v>
      </c>
      <c r="I1324" s="48">
        <v>60029</v>
      </c>
      <c r="J1324" s="48">
        <f t="shared" si="44"/>
        <v>80038.66666666667</v>
      </c>
    </row>
    <row r="1325" spans="1:10" ht="45">
      <c r="A1325" s="3" t="s">
        <v>562</v>
      </c>
      <c r="B1325" s="15">
        <v>3</v>
      </c>
      <c r="C1325" s="46">
        <v>1</v>
      </c>
      <c r="D1325" s="47" t="s">
        <v>948</v>
      </c>
      <c r="E1325" s="1" t="s">
        <v>949</v>
      </c>
      <c r="F1325" s="49" t="s">
        <v>445</v>
      </c>
      <c r="G1325" s="53" t="s">
        <v>984</v>
      </c>
      <c r="H1325" s="53" t="s">
        <v>423</v>
      </c>
      <c r="I1325" s="48">
        <v>86903</v>
      </c>
      <c r="J1325" s="48">
        <f t="shared" si="44"/>
        <v>115870.66666666667</v>
      </c>
    </row>
    <row r="1326" spans="1:10" ht="45">
      <c r="A1326" s="3" t="s">
        <v>562</v>
      </c>
      <c r="B1326" s="15">
        <v>3</v>
      </c>
      <c r="C1326" s="46">
        <v>1</v>
      </c>
      <c r="D1326" s="47" t="s">
        <v>948</v>
      </c>
      <c r="E1326" s="1" t="s">
        <v>949</v>
      </c>
      <c r="F1326" s="47" t="s">
        <v>357</v>
      </c>
      <c r="G1326" s="53" t="s">
        <v>984</v>
      </c>
      <c r="H1326" s="53" t="s">
        <v>423</v>
      </c>
      <c r="I1326" s="48">
        <v>20445.14</v>
      </c>
      <c r="J1326" s="48">
        <f t="shared" si="44"/>
        <v>27260.186666666665</v>
      </c>
    </row>
    <row r="1327" spans="1:10" ht="45">
      <c r="A1327" s="24" t="s">
        <v>562</v>
      </c>
      <c r="B1327" s="6">
        <v>3</v>
      </c>
      <c r="C1327" s="6">
        <v>1</v>
      </c>
      <c r="D1327" s="33" t="s">
        <v>948</v>
      </c>
      <c r="E1327" s="24" t="s">
        <v>949</v>
      </c>
      <c r="F1327" s="24"/>
      <c r="G1327" s="6"/>
      <c r="H1327" s="6"/>
      <c r="I1327" s="34">
        <f>SUBTOTAL(9,I1319:I1326)</f>
        <v>703558.1</v>
      </c>
      <c r="J1327" s="34">
        <f>SUBTOTAL(9,J1319:J1326)</f>
        <v>938077.4666666666</v>
      </c>
    </row>
    <row r="1328" spans="1:10" ht="33.75">
      <c r="A1328" s="3" t="s">
        <v>1003</v>
      </c>
      <c r="B1328" s="15">
        <v>3</v>
      </c>
      <c r="C1328" s="46">
        <v>2</v>
      </c>
      <c r="D1328" s="47" t="s">
        <v>950</v>
      </c>
      <c r="E1328" s="1" t="s">
        <v>951</v>
      </c>
      <c r="F1328" s="47" t="s">
        <v>791</v>
      </c>
      <c r="G1328" s="53" t="s">
        <v>983</v>
      </c>
      <c r="H1328" s="53" t="s">
        <v>423</v>
      </c>
      <c r="I1328" s="48">
        <v>12000</v>
      </c>
      <c r="J1328" s="48">
        <f>I1328/0.75</f>
        <v>16000</v>
      </c>
    </row>
    <row r="1329" spans="1:10" ht="33.75">
      <c r="A1329" s="3" t="s">
        <v>1003</v>
      </c>
      <c r="B1329" s="15">
        <v>3</v>
      </c>
      <c r="C1329" s="46">
        <v>2</v>
      </c>
      <c r="D1329" s="47" t="s">
        <v>950</v>
      </c>
      <c r="E1329" s="1" t="s">
        <v>951</v>
      </c>
      <c r="F1329" s="55" t="s">
        <v>792</v>
      </c>
      <c r="G1329" s="53" t="s">
        <v>984</v>
      </c>
      <c r="H1329" s="53" t="s">
        <v>330</v>
      </c>
      <c r="I1329" s="48">
        <v>265008.76</v>
      </c>
      <c r="J1329" s="48">
        <f>I1329/0.75</f>
        <v>353345.01333333337</v>
      </c>
    </row>
    <row r="1330" spans="1:10" ht="33.75">
      <c r="A1330" s="24" t="s">
        <v>1003</v>
      </c>
      <c r="B1330" s="6">
        <v>3</v>
      </c>
      <c r="C1330" s="6">
        <v>2</v>
      </c>
      <c r="D1330" s="33" t="s">
        <v>950</v>
      </c>
      <c r="E1330" s="24" t="s">
        <v>951</v>
      </c>
      <c r="F1330" s="24"/>
      <c r="G1330" s="6"/>
      <c r="H1330" s="6"/>
      <c r="I1330" s="34">
        <f>SUBTOTAL(9,I1328:I1329)</f>
        <v>277008.76</v>
      </c>
      <c r="J1330" s="34">
        <f>SUBTOTAL(9,J1328:J1329)</f>
        <v>369345.01333333337</v>
      </c>
    </row>
    <row r="1331" spans="1:10" ht="22.5">
      <c r="A1331" s="19" t="s">
        <v>807</v>
      </c>
      <c r="B1331" s="17">
        <v>3</v>
      </c>
      <c r="C1331" s="15">
        <v>3</v>
      </c>
      <c r="D1331" s="14" t="s">
        <v>968</v>
      </c>
      <c r="E1331" s="14" t="s">
        <v>969</v>
      </c>
      <c r="F1331" s="19" t="s">
        <v>66</v>
      </c>
      <c r="G1331" s="8" t="s">
        <v>983</v>
      </c>
      <c r="H1331" s="15" t="s">
        <v>423</v>
      </c>
      <c r="I1331" s="16">
        <v>107000</v>
      </c>
      <c r="J1331" s="16">
        <v>80250</v>
      </c>
    </row>
    <row r="1332" spans="1:10" ht="22.5">
      <c r="A1332" s="19" t="s">
        <v>807</v>
      </c>
      <c r="B1332" s="17">
        <v>3</v>
      </c>
      <c r="C1332" s="15">
        <v>3</v>
      </c>
      <c r="D1332" s="14" t="s">
        <v>968</v>
      </c>
      <c r="E1332" s="14" t="s">
        <v>969</v>
      </c>
      <c r="F1332" s="19" t="s">
        <v>67</v>
      </c>
      <c r="G1332" s="8" t="s">
        <v>983</v>
      </c>
      <c r="H1332" s="15" t="s">
        <v>423</v>
      </c>
      <c r="I1332" s="16">
        <v>107000</v>
      </c>
      <c r="J1332" s="16">
        <v>80250</v>
      </c>
    </row>
    <row r="1333" spans="1:10" ht="22.5">
      <c r="A1333" s="19" t="s">
        <v>807</v>
      </c>
      <c r="B1333" s="17">
        <v>3</v>
      </c>
      <c r="C1333" s="15">
        <v>3</v>
      </c>
      <c r="D1333" s="14" t="s">
        <v>968</v>
      </c>
      <c r="E1333" s="14" t="s">
        <v>969</v>
      </c>
      <c r="F1333" s="19" t="s">
        <v>68</v>
      </c>
      <c r="G1333" s="8" t="s">
        <v>983</v>
      </c>
      <c r="H1333" s="15" t="s">
        <v>423</v>
      </c>
      <c r="I1333" s="16">
        <v>100000</v>
      </c>
      <c r="J1333" s="16">
        <v>75000</v>
      </c>
    </row>
    <row r="1334" spans="1:10" ht="22.5">
      <c r="A1334" s="19" t="s">
        <v>807</v>
      </c>
      <c r="B1334" s="17">
        <v>3</v>
      </c>
      <c r="C1334" s="15">
        <v>3</v>
      </c>
      <c r="D1334" s="14" t="s">
        <v>968</v>
      </c>
      <c r="E1334" s="14" t="s">
        <v>969</v>
      </c>
      <c r="F1334" s="20" t="s">
        <v>65</v>
      </c>
      <c r="G1334" s="2" t="s">
        <v>984</v>
      </c>
      <c r="H1334" s="18" t="s">
        <v>330</v>
      </c>
      <c r="I1334" s="16">
        <v>232272.2</v>
      </c>
      <c r="J1334" s="16">
        <v>174204.15</v>
      </c>
    </row>
    <row r="1335" spans="1:10" ht="22.5">
      <c r="A1335" s="24" t="s">
        <v>807</v>
      </c>
      <c r="B1335" s="6">
        <v>3</v>
      </c>
      <c r="C1335" s="6">
        <v>3</v>
      </c>
      <c r="D1335" s="7" t="s">
        <v>968</v>
      </c>
      <c r="E1335" s="24" t="s">
        <v>969</v>
      </c>
      <c r="F1335" s="24"/>
      <c r="G1335" s="6"/>
      <c r="H1335" s="6"/>
      <c r="I1335" s="13">
        <v>546272.2</v>
      </c>
      <c r="J1335" s="13">
        <v>409704.15</v>
      </c>
    </row>
  </sheetData>
  <sheetProtection password="EDE0" sheet="1" sort="0" autoFilter="0"/>
  <autoFilter ref="A1:J1335">
    <sortState ref="A2:J1335">
      <sortCondition sortBy="value" ref="B2:B1335"/>
      <sortCondition sortBy="value" ref="D2:D1335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agonzalez</dc:creator>
  <cp:keywords/>
  <dc:description/>
  <cp:lastModifiedBy>ssilvano</cp:lastModifiedBy>
  <cp:lastPrinted>2014-04-15T08:43:22Z</cp:lastPrinted>
  <dcterms:created xsi:type="dcterms:W3CDTF">2010-07-27T09:38:33Z</dcterms:created>
  <dcterms:modified xsi:type="dcterms:W3CDTF">2015-03-09T16:57:48Z</dcterms:modified>
  <cp:category/>
  <cp:version/>
  <cp:contentType/>
  <cp:contentStatus/>
</cp:coreProperties>
</file>